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29040" windowHeight="15720" tabRatio="818" firstSheet="3" activeTab="9"/>
  </bookViews>
  <sheets>
    <sheet name="Plan1-FROTA KM DEM ANO1" sheetId="1" r:id="rId1"/>
    <sheet name="Plan2-CustosVariáveis" sheetId="2" r:id="rId2"/>
    <sheet name="Plan3-CustosFixos" sheetId="4" r:id="rId3"/>
    <sheet name="Plan4-Custos SAP" sheetId="3" r:id="rId4"/>
    <sheet name="Plan5-Garagens_EstaçãodeRecarga" sheetId="5" r:id="rId5"/>
    <sheet name="Plan6-ControleOperacional" sheetId="6" r:id="rId6"/>
    <sheet name="Plan7-RemunOperaçãoExperimental" sheetId="7" r:id="rId7"/>
    <sheet name="Plan8-TarifadeRemuneração" sheetId="8" r:id="rId8"/>
    <sheet name="Plan9-AuxiliarEncargos" sheetId="9" r:id="rId9"/>
    <sheet name="Plan10-AuxiliarEnergiaElétrica" sheetId="10" r:id="rId10"/>
  </sheets>
  <definedNames>
    <definedName name="_xlnm.Print_Area" localSheetId="0">'Plan1-FROTA KM DEM ANO1'!$A$1:$F$34</definedName>
    <definedName name="_xlnm.Print_Area" localSheetId="1">'Plan2-CustosVariáveis'!$A$1:$F$93</definedName>
    <definedName name="_xlnm.Print_Area" localSheetId="3">'Plan4-Custos SAP'!$A$1:$E$34</definedName>
    <definedName name="_xlnm.Print_Area" localSheetId="4">'Plan5-Garagens_EstaçãodeRecarga'!$A$1:$E$78</definedName>
    <definedName name="_xlnm.Print_Area" localSheetId="5">'Plan6-ControleOperacional'!$A$1:$E$40</definedName>
    <definedName name="_xlnm.Print_Area" localSheetId="6">'Plan7-RemunOperaçãoExperimental'!$A$1:$T$22</definedName>
    <definedName name="_xlnm.Print_Area" localSheetId="8">'Plan9-AuxiliarEncargos'!$A$1:$F$65</definedName>
  </definedNames>
  <calcPr calcId="152511" iterateDelta="1E-4"/>
  <customWorkbookViews>
    <customWorkbookView name="artran - Modo de exibição pessoal" guid="{B8BA5BCE-F393-4B11-B2A4-25A7A54F3B8C}" mergeInterval="0" personalView="1" maximized="1" xWindow="-8" yWindow="-8" windowWidth="1936" windowHeight="1056" tabRatio="714" activeSheetId="7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0" i="4" l="1"/>
  <c r="B113" i="4"/>
  <c r="E30" i="2"/>
  <c r="E23" i="2"/>
  <c r="E24" i="2"/>
  <c r="B16" i="2"/>
  <c r="B27" i="9" l="1"/>
  <c r="B19" i="9"/>
  <c r="C14" i="3"/>
  <c r="C44" i="4"/>
  <c r="C43" i="4"/>
  <c r="C42" i="4"/>
  <c r="B24" i="4" l="1"/>
  <c r="B20" i="8" l="1"/>
  <c r="B7" i="8"/>
  <c r="B22" i="8" l="1"/>
  <c r="B99" i="4" l="1"/>
  <c r="B100" i="4" s="1"/>
  <c r="B46" i="9" l="1"/>
  <c r="B22" i="4"/>
  <c r="D50" i="5" l="1"/>
  <c r="E50" i="5" s="1"/>
  <c r="B119" i="4"/>
  <c r="C119" i="4" s="1"/>
  <c r="C120" i="4" s="1"/>
  <c r="B24" i="6"/>
  <c r="D24" i="6" s="1"/>
  <c r="E24" i="6" s="1"/>
  <c r="E26" i="6" s="1"/>
  <c r="D31" i="6"/>
  <c r="E31" i="6" s="1"/>
  <c r="E33" i="6" s="1"/>
  <c r="D131" i="4"/>
  <c r="D132" i="4" s="1"/>
  <c r="C125" i="4"/>
  <c r="C126" i="4" s="1"/>
  <c r="C67" i="5"/>
  <c r="C68" i="5" l="1"/>
  <c r="D68" i="5" s="1"/>
  <c r="E68" i="5" s="1"/>
  <c r="D67" i="5"/>
  <c r="E67" i="5" s="1"/>
  <c r="B133" i="4"/>
  <c r="E23" i="10" l="1"/>
  <c r="E24" i="10"/>
  <c r="E22" i="10"/>
  <c r="E34" i="2" l="1"/>
  <c r="F34" i="2" s="1"/>
  <c r="F19" i="9" l="1"/>
  <c r="F17" i="9"/>
  <c r="C38" i="5" l="1"/>
  <c r="C37" i="5"/>
  <c r="C36" i="5"/>
  <c r="C34" i="5"/>
  <c r="B12" i="2" l="1"/>
  <c r="E81" i="2" s="1"/>
  <c r="B10" i="2"/>
  <c r="E79" i="2" s="1"/>
  <c r="B11" i="2"/>
  <c r="B11" i="4" l="1"/>
  <c r="E80" i="2"/>
  <c r="B10" i="4"/>
  <c r="B12" i="4"/>
  <c r="D66" i="5"/>
  <c r="D59" i="5"/>
  <c r="D58" i="5"/>
  <c r="D57" i="5"/>
  <c r="D49" i="5"/>
  <c r="D48" i="5"/>
  <c r="D47" i="5"/>
  <c r="D46" i="5"/>
  <c r="D45" i="5"/>
  <c r="C27" i="3"/>
  <c r="C28" i="3"/>
  <c r="C26" i="3"/>
  <c r="E30" i="3" l="1"/>
  <c r="E66" i="5"/>
  <c r="E70" i="5" s="1"/>
  <c r="E59" i="5"/>
  <c r="E58" i="5"/>
  <c r="E57" i="5"/>
  <c r="E45" i="5"/>
  <c r="E46" i="5"/>
  <c r="E47" i="5"/>
  <c r="E48" i="5"/>
  <c r="E49" i="5"/>
  <c r="E52" i="5" l="1"/>
  <c r="E61" i="5"/>
  <c r="B88" i="4" l="1"/>
  <c r="B89" i="4" s="1"/>
  <c r="B79" i="4"/>
  <c r="F20" i="9"/>
  <c r="D14" i="3" s="1"/>
  <c r="B62" i="9"/>
  <c r="B56" i="9"/>
  <c r="B65" i="9" s="1"/>
  <c r="B31" i="9"/>
  <c r="B29" i="9"/>
  <c r="B20" i="9"/>
  <c r="B22" i="9" s="1"/>
  <c r="B34" i="4"/>
  <c r="B33" i="4"/>
  <c r="B32" i="4"/>
  <c r="B36" i="9" l="1"/>
  <c r="B14" i="3" s="1"/>
  <c r="E14" i="3" s="1"/>
  <c r="D42" i="4"/>
  <c r="B90" i="4"/>
  <c r="B33" i="9"/>
  <c r="C17" i="5" l="1"/>
  <c r="D8" i="9"/>
  <c r="D9" i="9" s="1"/>
  <c r="D10" i="9" s="1"/>
  <c r="C13" i="6"/>
  <c r="D13" i="6" s="1"/>
  <c r="C17" i="6" s="1"/>
  <c r="B42" i="4"/>
  <c r="B43" i="4" s="1"/>
  <c r="D9" i="6"/>
  <c r="E9" i="6" s="1"/>
  <c r="B17" i="6" s="1"/>
  <c r="D10" i="3"/>
  <c r="D10" i="5"/>
  <c r="C18" i="3"/>
  <c r="D43" i="4"/>
  <c r="D44" i="4" s="1"/>
  <c r="D17" i="5"/>
  <c r="C18" i="5"/>
  <c r="E9" i="9" l="1"/>
  <c r="E8" i="9"/>
  <c r="E42" i="4"/>
  <c r="D17" i="6"/>
  <c r="E17" i="6" s="1"/>
  <c r="E19" i="6" s="1"/>
  <c r="E35" i="6" s="1"/>
  <c r="E10" i="3"/>
  <c r="B18" i="3" s="1"/>
  <c r="D18" i="3" s="1"/>
  <c r="E18" i="3" s="1"/>
  <c r="D11" i="5"/>
  <c r="E10" i="5"/>
  <c r="E10" i="9"/>
  <c r="E11" i="9" s="1"/>
  <c r="E139" i="4" s="1"/>
  <c r="D18" i="5"/>
  <c r="C19" i="5"/>
  <c r="C24" i="5"/>
  <c r="B44" i="4"/>
  <c r="E44" i="4" s="1"/>
  <c r="E43" i="4"/>
  <c r="B13" i="7" l="1"/>
  <c r="C13" i="7" s="1"/>
  <c r="B14" i="8"/>
  <c r="B24" i="5"/>
  <c r="D24" i="5" s="1"/>
  <c r="D12" i="5"/>
  <c r="E11" i="5"/>
  <c r="B25" i="5" s="1"/>
  <c r="C20" i="5"/>
  <c r="D19" i="5"/>
  <c r="E20" i="3"/>
  <c r="E32" i="3" s="1"/>
  <c r="C25" i="5"/>
  <c r="B23" i="4"/>
  <c r="C90" i="4"/>
  <c r="B17" i="4"/>
  <c r="B16" i="4"/>
  <c r="E49" i="2"/>
  <c r="B42" i="2"/>
  <c r="B41" i="2"/>
  <c r="E14" i="10"/>
  <c r="H14" i="10" s="1"/>
  <c r="D12" i="10"/>
  <c r="B11" i="7" l="1"/>
  <c r="C11" i="7" s="1"/>
  <c r="B12" i="8"/>
  <c r="D13" i="5"/>
  <c r="E13" i="5" s="1"/>
  <c r="B27" i="5" s="1"/>
  <c r="E12" i="5"/>
  <c r="B26" i="5" s="1"/>
  <c r="E24" i="5"/>
  <c r="D25" i="5"/>
  <c r="C26" i="5"/>
  <c r="D20" i="5"/>
  <c r="E50" i="2"/>
  <c r="C113" i="4"/>
  <c r="D89" i="4"/>
  <c r="C114" i="4"/>
  <c r="D90" i="4"/>
  <c r="C107" i="4"/>
  <c r="C106" i="4"/>
  <c r="C51" i="4"/>
  <c r="D51" i="4" s="1"/>
  <c r="C65" i="4"/>
  <c r="D65" i="4" s="1"/>
  <c r="E65" i="4" s="1"/>
  <c r="C58" i="4"/>
  <c r="D58" i="4" s="1"/>
  <c r="E58" i="4" s="1"/>
  <c r="C50" i="4"/>
  <c r="D50" i="4" s="1"/>
  <c r="C64" i="4"/>
  <c r="D64" i="4" s="1"/>
  <c r="E64" i="4" s="1"/>
  <c r="C57" i="4"/>
  <c r="D57" i="4" s="1"/>
  <c r="E57" i="4" s="1"/>
  <c r="D24" i="4"/>
  <c r="D34" i="4"/>
  <c r="C24" i="4"/>
  <c r="C34" i="4"/>
  <c r="D23" i="4"/>
  <c r="D33" i="4"/>
  <c r="B17" i="2"/>
  <c r="B34" i="5" l="1"/>
  <c r="D34" i="5"/>
  <c r="E34" i="5" s="1"/>
  <c r="B35" i="5"/>
  <c r="D26" i="5"/>
  <c r="C27" i="5"/>
  <c r="E25" i="5"/>
  <c r="E90" i="4"/>
  <c r="B15" i="2"/>
  <c r="F79" i="2" s="1"/>
  <c r="B15" i="4"/>
  <c r="D71" i="4"/>
  <c r="E50" i="4"/>
  <c r="E71" i="4" s="1"/>
  <c r="C79" i="4" s="1"/>
  <c r="C32" i="4"/>
  <c r="C88" i="4"/>
  <c r="E51" i="4"/>
  <c r="E72" i="4" s="1"/>
  <c r="C80" i="4" s="1"/>
  <c r="D72" i="4"/>
  <c r="C33" i="4"/>
  <c r="E33" i="4" s="1"/>
  <c r="C89" i="4"/>
  <c r="E89" i="4" s="1"/>
  <c r="E34" i="4"/>
  <c r="E24" i="4"/>
  <c r="C22" i="4"/>
  <c r="C23" i="4"/>
  <c r="E23" i="4" s="1"/>
  <c r="F80" i="2"/>
  <c r="F81" i="2"/>
  <c r="F83" i="2" l="1"/>
  <c r="B36" i="5"/>
  <c r="D35" i="5"/>
  <c r="E35" i="5" s="1"/>
  <c r="E26" i="5"/>
  <c r="D27" i="5"/>
  <c r="E80" i="4"/>
  <c r="E79" i="4"/>
  <c r="C63" i="4"/>
  <c r="D63" i="4" s="1"/>
  <c r="E63" i="4" s="1"/>
  <c r="E66" i="4" s="1"/>
  <c r="D32" i="4"/>
  <c r="C56" i="4"/>
  <c r="D56" i="4" s="1"/>
  <c r="D22" i="4"/>
  <c r="D88" i="4"/>
  <c r="C49" i="4"/>
  <c r="D49" i="4" s="1"/>
  <c r="C112" i="4"/>
  <c r="B112" i="4" s="1"/>
  <c r="C105" i="4"/>
  <c r="B105" i="4" s="1"/>
  <c r="B106" i="4" s="1"/>
  <c r="E56" i="4" l="1"/>
  <c r="E59" i="4" s="1"/>
  <c r="D46" i="4"/>
  <c r="B37" i="5"/>
  <c r="D36" i="5"/>
  <c r="E36" i="5" s="1"/>
  <c r="B114" i="4"/>
  <c r="D114" i="4" s="1"/>
  <c r="E114" i="4" s="1"/>
  <c r="D113" i="4"/>
  <c r="E113" i="4" s="1"/>
  <c r="B107" i="4"/>
  <c r="D107" i="4" s="1"/>
  <c r="E107" i="4" s="1"/>
  <c r="D106" i="4"/>
  <c r="E106" i="4" s="1"/>
  <c r="E27" i="5"/>
  <c r="E88" i="4"/>
  <c r="E22" i="4"/>
  <c r="E32" i="4"/>
  <c r="D105" i="4"/>
  <c r="D112" i="4"/>
  <c r="E112" i="4" s="1"/>
  <c r="E49" i="4"/>
  <c r="E52" i="4" s="1"/>
  <c r="D70" i="4"/>
  <c r="D73" i="4" s="1"/>
  <c r="F9" i="7" l="1"/>
  <c r="B38" i="5"/>
  <c r="D38" i="5" s="1"/>
  <c r="E38" i="5" s="1"/>
  <c r="D37" i="5"/>
  <c r="E37" i="5" s="1"/>
  <c r="E29" i="5"/>
  <c r="E26" i="4"/>
  <c r="E36" i="4"/>
  <c r="E92" i="4"/>
  <c r="E105" i="4"/>
  <c r="C23" i="2"/>
  <c r="C49" i="2" s="1"/>
  <c r="E115" i="4"/>
  <c r="E70" i="4"/>
  <c r="E40" i="5" l="1"/>
  <c r="E73" i="5" s="1"/>
  <c r="F10" i="7"/>
  <c r="H9" i="7"/>
  <c r="H10" i="7" s="1"/>
  <c r="H12" i="7" s="1"/>
  <c r="H13" i="7" s="1"/>
  <c r="I9" i="7"/>
  <c r="I10" i="7" s="1"/>
  <c r="I12" i="7" s="1"/>
  <c r="I13" i="7" s="1"/>
  <c r="J9" i="7"/>
  <c r="J10" i="7" s="1"/>
  <c r="J12" i="7" s="1"/>
  <c r="J13" i="7" s="1"/>
  <c r="O9" i="7"/>
  <c r="O10" i="7" s="1"/>
  <c r="O12" i="7" s="1"/>
  <c r="O13" i="7" s="1"/>
  <c r="T9" i="7"/>
  <c r="T10" i="7" s="1"/>
  <c r="T12" i="7" s="1"/>
  <c r="T13" i="7" s="1"/>
  <c r="K9" i="7"/>
  <c r="K10" i="7" s="1"/>
  <c r="K12" i="7" s="1"/>
  <c r="K13" i="7" s="1"/>
  <c r="L9" i="7"/>
  <c r="L10" i="7" s="1"/>
  <c r="L12" i="7" s="1"/>
  <c r="L13" i="7" s="1"/>
  <c r="M9" i="7"/>
  <c r="M10" i="7" s="1"/>
  <c r="M12" i="7" s="1"/>
  <c r="M13" i="7" s="1"/>
  <c r="P9" i="7"/>
  <c r="P10" i="7" s="1"/>
  <c r="P12" i="7" s="1"/>
  <c r="P13" i="7" s="1"/>
  <c r="N9" i="7"/>
  <c r="N10" i="7" s="1"/>
  <c r="N12" i="7" s="1"/>
  <c r="N13" i="7" s="1"/>
  <c r="Q9" i="7"/>
  <c r="Q10" i="7" s="1"/>
  <c r="Q12" i="7" s="1"/>
  <c r="Q13" i="7" s="1"/>
  <c r="R9" i="7"/>
  <c r="R10" i="7" s="1"/>
  <c r="R12" i="7" s="1"/>
  <c r="R13" i="7" s="1"/>
  <c r="S9" i="7"/>
  <c r="S10" i="7" s="1"/>
  <c r="S12" i="7" s="1"/>
  <c r="S13" i="7" s="1"/>
  <c r="G9" i="7"/>
  <c r="G10" i="7" s="1"/>
  <c r="G12" i="7" s="1"/>
  <c r="G13" i="7" s="1"/>
  <c r="C79" i="2"/>
  <c r="E108" i="4"/>
  <c r="E136" i="4" s="1"/>
  <c r="C30" i="2"/>
  <c r="C24" i="2"/>
  <c r="C50" i="2" s="1"/>
  <c r="C41" i="2"/>
  <c r="D23" i="2"/>
  <c r="C62" i="2"/>
  <c r="D62" i="2" s="1"/>
  <c r="C78" i="4"/>
  <c r="E73" i="4"/>
  <c r="B134" i="4" l="1"/>
  <c r="B13" i="8"/>
  <c r="B12" i="7"/>
  <c r="C12" i="7" s="1"/>
  <c r="C42" i="2"/>
  <c r="F23" i="2"/>
  <c r="F49" i="2"/>
  <c r="D41" i="2"/>
  <c r="E78" i="4"/>
  <c r="C63" i="2"/>
  <c r="D63" i="2" s="1"/>
  <c r="C80" i="2"/>
  <c r="D24" i="2"/>
  <c r="D30" i="2"/>
  <c r="C54" i="2"/>
  <c r="F54" i="2" s="1"/>
  <c r="C64" i="2"/>
  <c r="D64" i="2" s="1"/>
  <c r="C81" i="2"/>
  <c r="F50" i="2" l="1"/>
  <c r="F24" i="2"/>
  <c r="F25" i="2" s="1"/>
  <c r="F62" i="2"/>
  <c r="D69" i="2"/>
  <c r="F69" i="2" s="1"/>
  <c r="F63" i="2"/>
  <c r="E82" i="4"/>
  <c r="E143" i="4" s="1"/>
  <c r="F41" i="2"/>
  <c r="F30" i="2"/>
  <c r="F36" i="2" s="1"/>
  <c r="D42" i="2"/>
  <c r="D70" i="2" l="1"/>
  <c r="D71" i="2"/>
  <c r="F64" i="2"/>
  <c r="F65" i="2" s="1"/>
  <c r="F56" i="2"/>
  <c r="F42" i="2"/>
  <c r="F71" i="2" l="1"/>
  <c r="F70" i="2"/>
  <c r="F89" i="2" s="1"/>
  <c r="F44" i="2"/>
  <c r="B9" i="7" s="1"/>
  <c r="C9" i="7" s="1"/>
  <c r="F88" i="2"/>
  <c r="F72" i="2" l="1"/>
  <c r="F90" i="2"/>
  <c r="F92" i="2" l="1"/>
  <c r="B10" i="8" s="1"/>
  <c r="F74" i="2"/>
  <c r="B10" i="7" l="1"/>
  <c r="C10" i="7" s="1"/>
  <c r="B11" i="8"/>
  <c r="B9" i="8" s="1"/>
  <c r="B16" i="8" s="1"/>
  <c r="B17" i="8" s="1"/>
  <c r="B19" i="8" s="1"/>
  <c r="B26" i="8" s="1"/>
  <c r="B27" i="8" s="1"/>
  <c r="C14" i="7" l="1"/>
  <c r="F11" i="7" s="1"/>
  <c r="F12" i="7" s="1"/>
  <c r="F13" i="7" s="1"/>
  <c r="F14" i="7" s="1"/>
</calcChain>
</file>

<file path=xl/sharedStrings.xml><?xml version="1.0" encoding="utf-8"?>
<sst xmlns="http://schemas.openxmlformats.org/spreadsheetml/2006/main" count="700" uniqueCount="324">
  <si>
    <t>Consumo</t>
  </si>
  <si>
    <t>Tipo de Ônibus</t>
  </si>
  <si>
    <t>Padron</t>
  </si>
  <si>
    <t>Convencional</t>
  </si>
  <si>
    <t>-</t>
  </si>
  <si>
    <t>Total</t>
  </si>
  <si>
    <t>kW</t>
  </si>
  <si>
    <t>Preço</t>
  </si>
  <si>
    <t>Custo</t>
  </si>
  <si>
    <t>R$</t>
  </si>
  <si>
    <t>2 estações de recarga, 1 em cada terminal</t>
  </si>
  <si>
    <t>2h</t>
  </si>
  <si>
    <t>8min</t>
  </si>
  <si>
    <t>Tarifa de demanda</t>
  </si>
  <si>
    <t>mensal</t>
  </si>
  <si>
    <t>kW/mês</t>
  </si>
  <si>
    <t>* coeficiente de lubrificantes incide sobre o preço do diesel</t>
  </si>
  <si>
    <t>Pneus</t>
  </si>
  <si>
    <t>Recapagem</t>
  </si>
  <si>
    <t>Ônibus novo com rodagem</t>
  </si>
  <si>
    <t>Preços</t>
  </si>
  <si>
    <t>Frota</t>
  </si>
  <si>
    <t>Quantidade</t>
  </si>
  <si>
    <t>Dados de Entrada</t>
  </si>
  <si>
    <t>Tipo de Veículo</t>
  </si>
  <si>
    <t>R$/ano</t>
  </si>
  <si>
    <t>* estima-se o valor investido anualmente em almoxarifado aplicando 0,36% (3% x 12%) sobre o valor do veículo novo diesel e 0,12% (1% x 12%) veículo elétrico</t>
  </si>
  <si>
    <t>Total de Profissionais</t>
  </si>
  <si>
    <t>Salário</t>
  </si>
  <si>
    <t>Remuneração de Diretoria</t>
  </si>
  <si>
    <t>Descrição</t>
  </si>
  <si>
    <t>Folga Semanal</t>
  </si>
  <si>
    <t>Redução Oferta</t>
  </si>
  <si>
    <t>Domingo</t>
  </si>
  <si>
    <t>Sábado</t>
  </si>
  <si>
    <t>% folgas</t>
  </si>
  <si>
    <t>% folgas semanais</t>
  </si>
  <si>
    <t>Feriados</t>
  </si>
  <si>
    <t>Férias</t>
  </si>
  <si>
    <t>Cobertura de Faltas</t>
  </si>
  <si>
    <t>FINAL</t>
  </si>
  <si>
    <t>Encargos Sociais</t>
  </si>
  <si>
    <t>GRUPO A</t>
  </si>
  <si>
    <t>SEST</t>
  </si>
  <si>
    <t>SENAT</t>
  </si>
  <si>
    <t>SEBRAE</t>
  </si>
  <si>
    <t>INCRA</t>
  </si>
  <si>
    <t>Salário educação</t>
  </si>
  <si>
    <t>Acidente de trabalho</t>
  </si>
  <si>
    <t>FGTS</t>
  </si>
  <si>
    <t>GRUPO B</t>
  </si>
  <si>
    <t>Abono de férias</t>
  </si>
  <si>
    <t>Décimo terceiro salário</t>
  </si>
  <si>
    <t>Aviso prévio trabalhado(*)</t>
  </si>
  <si>
    <t>Licença paternidade(*)</t>
  </si>
  <si>
    <t>Licença funeral(*)</t>
  </si>
  <si>
    <t>Licença casamento(*)</t>
  </si>
  <si>
    <t>Adicional noturno(*)</t>
  </si>
  <si>
    <t>GRUPO C</t>
  </si>
  <si>
    <t>Aviso prévio indenizado(*)</t>
  </si>
  <si>
    <t>Depósito por rescisão(*)</t>
  </si>
  <si>
    <t>Indenização adicional(*)</t>
  </si>
  <si>
    <t>GRUPO D</t>
  </si>
  <si>
    <t>(A X B)</t>
  </si>
  <si>
    <t xml:space="preserve">Motorista </t>
  </si>
  <si>
    <t>Fiscal</t>
  </si>
  <si>
    <t>Manutenção</t>
  </si>
  <si>
    <t>Profissional</t>
  </si>
  <si>
    <t>Enc. Sociais</t>
  </si>
  <si>
    <t>Benefício por funcionário/mês (R$)</t>
  </si>
  <si>
    <t>Fardamento</t>
  </si>
  <si>
    <t>Convenção Anual</t>
  </si>
  <si>
    <t>Auxílio Alimentação</t>
  </si>
  <si>
    <t>Auxílio Clínica</t>
  </si>
  <si>
    <t>Benefícios</t>
  </si>
  <si>
    <t>Custo Anual</t>
  </si>
  <si>
    <t>Qtd</t>
  </si>
  <si>
    <t>Verba</t>
  </si>
  <si>
    <t>Custo Variável Total</t>
  </si>
  <si>
    <t>Custo Fixo Total</t>
  </si>
  <si>
    <t>Qtd. Postos</t>
  </si>
  <si>
    <t>Turnos</t>
  </si>
  <si>
    <t>Qtd. Pessoas</t>
  </si>
  <si>
    <t>Msg WhatsApp - seções ativas</t>
  </si>
  <si>
    <t>Msg WhatsApp - seções receptivas</t>
  </si>
  <si>
    <t>Salário Base</t>
  </si>
  <si>
    <t>Custo Mensal</t>
  </si>
  <si>
    <t>Supervisor de Manutenção do Prédio</t>
  </si>
  <si>
    <t>Servente</t>
  </si>
  <si>
    <t>Serviço/Posto</t>
  </si>
  <si>
    <t>Garagem Metropolitana</t>
  </si>
  <si>
    <t>Custo Unitário</t>
  </si>
  <si>
    <t>Fardamento (kit)</t>
  </si>
  <si>
    <t>EPI´s (Colete Refletivo, Luvas, Botas, Protetores) (kit)</t>
  </si>
  <si>
    <t>Auxílio Alimentação (und)</t>
  </si>
  <si>
    <t>Auxílio Clínica (und)</t>
  </si>
  <si>
    <t>Convenção Anual (acordo sindical) (und)</t>
  </si>
  <si>
    <t>Dedetização e Desratização (verba)</t>
  </si>
  <si>
    <t>Desinfecção de Reservatórios* (verba)</t>
  </si>
  <si>
    <t>Remoção de Detritos (verba)</t>
  </si>
  <si>
    <t>Materiais Elétricos (verba)</t>
  </si>
  <si>
    <t>Materiais Hidráulicos e Civil (verba)</t>
  </si>
  <si>
    <t>Materiais de Serviços Corretivos de Infraestrutura (verba)</t>
  </si>
  <si>
    <t>Materiais e Produtos de Limpeza (verba)</t>
  </si>
  <si>
    <t>Materiais de Consumo dos Sanitários (verba)</t>
  </si>
  <si>
    <t>Custos Fixos</t>
  </si>
  <si>
    <t>Custos SAP</t>
  </si>
  <si>
    <t>Tributos</t>
  </si>
  <si>
    <t>A4 (2,3 a 25 kV)</t>
  </si>
  <si>
    <t>Demanda</t>
  </si>
  <si>
    <t>Consumo Ponta</t>
  </si>
  <si>
    <t>Consumo Fora Ponta</t>
  </si>
  <si>
    <t>kWh</t>
  </si>
  <si>
    <t>Elétrico</t>
  </si>
  <si>
    <t>Retorno</t>
  </si>
  <si>
    <t>Investimento</t>
  </si>
  <si>
    <t>VPL</t>
  </si>
  <si>
    <t>Despesas com Administração</t>
  </si>
  <si>
    <t xml:space="preserve">(*) consulta em 28/08/2024: https://www.salario.com.br/profissao/atendente-de-telemarketing-cbo-422315/ </t>
  </si>
  <si>
    <t>Adicional</t>
  </si>
  <si>
    <t>Estimativa para Tarifa de Energia Elétrica</t>
  </si>
  <si>
    <t>Capacidade bateria</t>
  </si>
  <si>
    <t>Tempo de recarga</t>
  </si>
  <si>
    <t>Consumidor grupo A4</t>
  </si>
  <si>
    <t>Modalidade Tarifária Verde</t>
  </si>
  <si>
    <t>Custo CCO</t>
  </si>
  <si>
    <t>Custos Variáveis</t>
  </si>
  <si>
    <t>Consumo de Energia Elétrica</t>
  </si>
  <si>
    <t xml:space="preserve"> </t>
  </si>
  <si>
    <t>Custo com Óleo Diesel</t>
  </si>
  <si>
    <t>Frota Operacional (Ônibus)</t>
  </si>
  <si>
    <t>Quantidade de Ônibus</t>
  </si>
  <si>
    <t>Quilometragem</t>
  </si>
  <si>
    <t>km/ano</t>
  </si>
  <si>
    <t>Custo de Diesel</t>
  </si>
  <si>
    <t>Preço (R$/kW)</t>
  </si>
  <si>
    <t>Custo (R$/ano)</t>
  </si>
  <si>
    <t>Custo de Energia Elétrica</t>
  </si>
  <si>
    <t>Custo de Lubrificantes</t>
  </si>
  <si>
    <t>Custo de Peças e Acessórios</t>
  </si>
  <si>
    <t>Custo Variável Total por Tipo de Ônibus</t>
  </si>
  <si>
    <t>Remuneração de Investimento em Almoxarifado</t>
  </si>
  <si>
    <t>Estações de Recarga dos Ônibus Elétricos</t>
  </si>
  <si>
    <t>Quantidade de Postos</t>
  </si>
  <si>
    <t>Quantidade de Pessoas</t>
  </si>
  <si>
    <t>Custo de Pessoal da Garagem Metropolitana</t>
  </si>
  <si>
    <t xml:space="preserve">Encargos Sociais </t>
  </si>
  <si>
    <t>Quantidade de  Pessoas</t>
  </si>
  <si>
    <t>Custo de Equipamentos e Benefícios da Garagem Metropolitana</t>
  </si>
  <si>
    <t>Custos de Serviços de Limpeza e Higienização da Garagem Metropolitana</t>
  </si>
  <si>
    <t>*refere-se a 2 (dois) serviços no ano, a serem rateados em 12 meses</t>
  </si>
  <si>
    <t>Custo de Vigilância e Segurança Patrimonial da Garagem Metropolitana, Garagem da Contratada e Estações de Recarga dos Ônibus Elétricos</t>
  </si>
  <si>
    <t>Custo Total das Garagens e Estações de Recarga</t>
  </si>
  <si>
    <t>Operador das Estações de Trabalho</t>
  </si>
  <si>
    <t>Estações de Trabalho (CCO, Terminais de Integração, Garagem Metropolitana e Garagem da Contratada)</t>
  </si>
  <si>
    <t>Custeio das ações de acompanhamento do Sistema de Telemetria e SGT</t>
  </si>
  <si>
    <t>Demanda (Passageiro equivalente)</t>
  </si>
  <si>
    <t>Líquido</t>
  </si>
  <si>
    <t>Desconto</t>
  </si>
  <si>
    <t>Taxa de Remuneração</t>
  </si>
  <si>
    <t>TOTAL</t>
  </si>
  <si>
    <t xml:space="preserve">INSS </t>
  </si>
  <si>
    <t>(*) Valores estimados com base em média setorial</t>
  </si>
  <si>
    <t>2% do valor anual estimado do contrato (R$/ano)</t>
  </si>
  <si>
    <t>CPRB / INSS</t>
  </si>
  <si>
    <t>Coeficiente de Consumo</t>
  </si>
  <si>
    <t>Vida Útil</t>
  </si>
  <si>
    <t xml:space="preserve">Quantidade </t>
  </si>
  <si>
    <t>Demanda (kW/mês)</t>
  </si>
  <si>
    <t>Custo do Arla 32</t>
  </si>
  <si>
    <t>Custo de Rodagem</t>
  </si>
  <si>
    <t>Remuneração de Investimento em Instalações e Equipamentos</t>
  </si>
  <si>
    <t>Custo de Pessoal Administrativo</t>
  </si>
  <si>
    <t>Custo Total do SAP</t>
  </si>
  <si>
    <t>Custo Total de Equipamentos e Benefícios de Pessoal de Manutenção da Garagem Metropolitana</t>
  </si>
  <si>
    <t>Consumo do Arla 32</t>
  </si>
  <si>
    <t>(R$/ano)</t>
  </si>
  <si>
    <t>Garagem da Contratada</t>
  </si>
  <si>
    <t>Pessoal do SAP</t>
  </si>
  <si>
    <t>Custo de Pessoal do SAP</t>
  </si>
  <si>
    <t>Tipo de ônibus</t>
  </si>
  <si>
    <t>Custo de  Arla 32</t>
  </si>
  <si>
    <t>Custo da Garantia de Execução do Contrato</t>
  </si>
  <si>
    <t>Custo da Garantia de Execução do Contrato e Seguros</t>
  </si>
  <si>
    <t>Custo de Serviços do SAP</t>
  </si>
  <si>
    <t>Custo Total de Pessoal da Garagem Metropolitana</t>
  </si>
  <si>
    <t>Custos de Materiais de Manutenção e de Limpeza da Garagem Metropolitana</t>
  </si>
  <si>
    <t>Custo de Pessoal do Controle Operacional</t>
  </si>
  <si>
    <t xml:space="preserve">Custo de Equipamentos do Controle Operacional </t>
  </si>
  <si>
    <t>Custo dos Serviços do Controle Operacional (Operação e  Manutenção do Sistema de Telemetria e Sistema de Gerenciamento de Transporte (SGT)</t>
  </si>
  <si>
    <t>Custo Total do Controle Operacional</t>
  </si>
  <si>
    <t>Taxa de Regulação, Fiscalização e Controle de Transporte (TRFC/Transporte) - Lei Estadual n.º 10.308/2023</t>
  </si>
  <si>
    <t>Custos (R$/ano)</t>
  </si>
  <si>
    <t>Valor de Receita Anual do Contrato (R$/ ano)</t>
  </si>
  <si>
    <t>Custos Variáveis (R$/ ano)</t>
  </si>
  <si>
    <t>Custos Fixos (R$/ ano)</t>
  </si>
  <si>
    <t>Custos SAP (R$/ ano)</t>
  </si>
  <si>
    <t>Custos Garagem e Estações de Recarga (R$/ ano)</t>
  </si>
  <si>
    <t>Custo Controle Operacional (R$/ ano)</t>
  </si>
  <si>
    <t>Taxa Anual da seguradora (%)</t>
  </si>
  <si>
    <t>Salário (R$)/mês</t>
  </si>
  <si>
    <t>Frota Total (Ônibus)</t>
  </si>
  <si>
    <t>Preço do Ônibus novo com rodagem</t>
  </si>
  <si>
    <t>Tarifa de Demanda de Energia Elétrica</t>
  </si>
  <si>
    <t xml:space="preserve">Consumo de Energia Elétrica  </t>
  </si>
  <si>
    <t>Custo/Profissional</t>
  </si>
  <si>
    <t>Custo de Motorista</t>
  </si>
  <si>
    <t>Fator de Utilização</t>
  </si>
  <si>
    <t>(ônibus)</t>
  </si>
  <si>
    <t>Frota Total</t>
  </si>
  <si>
    <t>Custo de Fiscal</t>
  </si>
  <si>
    <t>Custo de Pessoal de Manutenção</t>
  </si>
  <si>
    <t>Custo de Mão de Obra de Operação e Manutenção</t>
  </si>
  <si>
    <t>Custo Total de Despesas com Administração</t>
  </si>
  <si>
    <t>Custo Total de Pessoal Administrativo</t>
  </si>
  <si>
    <t>Remuneração Total de Investimento em Instalações e Equipamentos</t>
  </si>
  <si>
    <t>Remuneração Total de Investimento em Almoxarifado</t>
  </si>
  <si>
    <t>Encargos (R$/mês)</t>
  </si>
  <si>
    <t>Total (R$/mês)</t>
  </si>
  <si>
    <t>Custo der Seguros das Garagens, Estações de Recarga e Frota de Ônibus</t>
  </si>
  <si>
    <t>Custo de Seguro de Responsabilidade Civil das Operações da Contratada</t>
  </si>
  <si>
    <t>Custo de Seguro Patrimonial da Frota</t>
  </si>
  <si>
    <t>Custo de Seguro Patrimonial da Garagem Metropolitana</t>
  </si>
  <si>
    <t>Custo de Seguro Patrimonial da Garagem da Contratada</t>
  </si>
  <si>
    <t>Custo de Seguro Patrimonial das Estações de Recarga dos Ônibus Elétricos</t>
  </si>
  <si>
    <t>Custo Total de Seguros das Garagens, Estações de Recarga e Frota de Ônibus</t>
  </si>
  <si>
    <t>Custo Total de Serviços do SAP</t>
  </si>
  <si>
    <t>Custo Total de Pessoal do SAP</t>
  </si>
  <si>
    <t>Custo Total de Serviços de Limpeza e Higienização da Garagem Metropolitana</t>
  </si>
  <si>
    <t>Custo Total de Vigilância e Segurança Patrimonial das Garagens e Estações de Recarga</t>
  </si>
  <si>
    <t>Pessoal (Operador das Estações de Trabalho)</t>
  </si>
  <si>
    <t>Qtd. (Postos)</t>
  </si>
  <si>
    <t>Qtd. (Pessoas)</t>
  </si>
  <si>
    <t>Qtd.(Pessoas)</t>
  </si>
  <si>
    <t>Qtd.(Postos)</t>
  </si>
  <si>
    <t>Custo de Pessoal (Operador das estações de trabalho)</t>
  </si>
  <si>
    <t>Custo de Equipamentos (estações de trabalho)</t>
  </si>
  <si>
    <t>Custo Total da Operação Experimental</t>
  </si>
  <si>
    <t>Receitas Acessórias (R$/ ano)</t>
  </si>
  <si>
    <t>Tarifa de Remuneração (R$)</t>
  </si>
  <si>
    <t xml:space="preserve">Remuneração pela Prestação de Serviços (RPS)  (R$/ano) (7,31% sobre os Custos) </t>
  </si>
  <si>
    <t>Demanda de energia (kw/mês)</t>
  </si>
  <si>
    <t>Nome da Licitante:</t>
  </si>
  <si>
    <t>Passageiros Equivalentes Ano 1 (PEq/ ano)</t>
  </si>
  <si>
    <t>Edital de Concorrência Eletrônica n.° 001/2025 – ARTRAN/PA</t>
  </si>
  <si>
    <t>Quilometragem Total (km/ano)</t>
  </si>
  <si>
    <t>Passageiro Equivalente (PEq/ano)</t>
  </si>
  <si>
    <t>Custo Unit</t>
  </si>
  <si>
    <t>Custos Garagem e E/R</t>
  </si>
  <si>
    <r>
      <t>Coeficiente de Consumo</t>
    </r>
    <r>
      <rPr>
        <vertAlign val="superscript"/>
        <sz val="10"/>
        <color theme="1"/>
        <rFont val="Times New Roman"/>
        <family val="1"/>
      </rPr>
      <t>*</t>
    </r>
  </si>
  <si>
    <t>Coeficiente de Consumo*</t>
  </si>
  <si>
    <t>Valor Anual de Apólice (R$/ano)</t>
  </si>
  <si>
    <t>Remuneração dos 30 dias iniciais da Operação Experimental (R$)</t>
  </si>
  <si>
    <t>Fluxo de Caixa do Custo da Operação Experimental</t>
  </si>
  <si>
    <t>subtotal</t>
  </si>
  <si>
    <r>
      <t>N.</t>
    </r>
    <r>
      <rPr>
        <vertAlign val="superscript"/>
        <sz val="10"/>
        <color theme="1"/>
        <rFont val="Times New Roman"/>
        <family val="1"/>
      </rPr>
      <t>o</t>
    </r>
    <r>
      <rPr>
        <sz val="10"/>
        <color theme="1"/>
        <rFont val="Times New Roman"/>
        <family val="1"/>
      </rPr>
      <t xml:space="preserve"> Semanas</t>
    </r>
  </si>
  <si>
    <t>Preço sem ICMS (R$)</t>
  </si>
  <si>
    <t>Preço com ICMS (R$)</t>
  </si>
  <si>
    <t>Custo Total, sem receitas acessórias, sem tributos e sem receita dos 30 dias iniciais da Operação Experimental (R$/ano)</t>
  </si>
  <si>
    <t>Tarifa de Remuneração, sem tributos e sem remuneração dos 30 dias iniciais da Operação Experimental (R$)</t>
  </si>
  <si>
    <t>Posto de vigilância 24 horas, 7 dias por semana - Garagem Metropolitana</t>
  </si>
  <si>
    <t>Posto de vigilância 24 horas, 7 dias por semana - Garagem da Contratada</t>
  </si>
  <si>
    <t>Posto de vigilância 24 horas, 7 dias por semana - Estações de Recarga</t>
  </si>
  <si>
    <t>Qtd. Postos - 24horas</t>
  </si>
  <si>
    <t xml:space="preserve">Responsável de Manutenção Elétrica </t>
  </si>
  <si>
    <t>Responsável de Manutenção Hidráulica</t>
  </si>
  <si>
    <t xml:space="preserve">Custo Total de Materiais de Manutenção e de Limpeza da Garagem Metropolitana </t>
  </si>
  <si>
    <t>Custo dos Serviços de Operação e Manutenção do Sistema de Telemetria e Sistema de Gerenciamento de Transporte (SGT)</t>
  </si>
  <si>
    <t>Potência mínima de 150 kW</t>
  </si>
  <si>
    <t>PLANILHA 1: QUILOMETRAGEM TOTAL, PASSAGEIRO EQUIVALENTE E FROTA  (ANO 1)</t>
  </si>
  <si>
    <t>PLANILHA 2: CUSTOS VARIÁVEIS</t>
  </si>
  <si>
    <t>PLANILHA 3: CUSTOS FIXOS</t>
  </si>
  <si>
    <t>PLANILHA 4: OUTROS CUSTOS FIXOS - CUSTOS DO SISTEMA ATENDIMENTO AO PÚBLICO</t>
  </si>
  <si>
    <t>PLANILHA 5: CUSTO DAS GARAGENS E ESTAÇÕES DE RECARGA</t>
  </si>
  <si>
    <t>PLANILHA 6: CUSTO DO CONTROLE OPERACIONAL</t>
  </si>
  <si>
    <t>PLANILHA 7: REMUNERAÇÃO DA OPERAÇÃO EXPERIMENTAL</t>
  </si>
  <si>
    <t>PLANILHA 8: TARIFA DE REMUNERAÇÃO</t>
  </si>
  <si>
    <t>PLANILHA 9: ENCARGOS GERAIS</t>
  </si>
  <si>
    <t>PLANILHA 10: CUSTO DE ENERGIA ELÉTRICA</t>
  </si>
  <si>
    <r>
      <t>N.º feriados</t>
    </r>
    <r>
      <rPr>
        <vertAlign val="superscript"/>
        <sz val="10"/>
        <color theme="1"/>
        <rFont val="Times New Roman"/>
        <family val="1"/>
      </rPr>
      <t>(B)</t>
    </r>
  </si>
  <si>
    <r>
      <t>Redução Oferta</t>
    </r>
    <r>
      <rPr>
        <vertAlign val="superscript"/>
        <sz val="10"/>
        <color theme="1"/>
        <rFont val="Times New Roman"/>
        <family val="1"/>
      </rPr>
      <t>(A)</t>
    </r>
  </si>
  <si>
    <r>
      <t>[(A)*(B)*2]</t>
    </r>
    <r>
      <rPr>
        <sz val="10"/>
        <color theme="1"/>
        <rFont val="Aptos Narrow"/>
        <family val="2"/>
      </rPr>
      <t>÷</t>
    </r>
    <r>
      <rPr>
        <sz val="10"/>
        <color theme="1"/>
        <rFont val="Times New Roman"/>
        <family val="1"/>
      </rPr>
      <t>365</t>
    </r>
  </si>
  <si>
    <t>(R$)</t>
  </si>
  <si>
    <t>(l/km)</t>
  </si>
  <si>
    <t>(km/ano)</t>
  </si>
  <si>
    <t>(litros)</t>
  </si>
  <si>
    <t>(R$/l)</t>
  </si>
  <si>
    <t>(kW/km)</t>
  </si>
  <si>
    <t>(kW)</t>
  </si>
  <si>
    <t>(R$/kwh)</t>
  </si>
  <si>
    <t>(R$/km)</t>
  </si>
  <si>
    <t>(km/pneu)</t>
  </si>
  <si>
    <t>(pneus/ano)</t>
  </si>
  <si>
    <t>(R$/pneu)</t>
  </si>
  <si>
    <t>(recapagem/pneu)</t>
  </si>
  <si>
    <t>(R$/recapagem)</t>
  </si>
  <si>
    <t>Quilometragem (km/ano)</t>
  </si>
  <si>
    <t>Preço do Ônibus novo sem rodagem (R$)</t>
  </si>
  <si>
    <t>Preço do ônibus novo com rodagem (R$)</t>
  </si>
  <si>
    <t>Preço ônibus novo com rodagem (R$)</t>
  </si>
  <si>
    <t>(R$/mês)</t>
  </si>
  <si>
    <t>(profissional/ônibus)</t>
  </si>
  <si>
    <t>(R$/ônibus)</t>
  </si>
  <si>
    <t>(R$/ônibus.mês)</t>
  </si>
  <si>
    <t xml:space="preserve">Custo Total de Seguros das Garagens e Estações de Recarga </t>
  </si>
  <si>
    <t>( R$/mês)</t>
  </si>
  <si>
    <t xml:space="preserve"> (R$)</t>
  </si>
  <si>
    <t>Custo da Remuneração de Diretoria e Gerência</t>
  </si>
  <si>
    <t xml:space="preserve"> (R$/ano)</t>
  </si>
  <si>
    <t xml:space="preserve"> (R$/mês)</t>
  </si>
  <si>
    <t>Sistema WEB e Plataforma Mobile</t>
  </si>
  <si>
    <t>(%)</t>
  </si>
  <si>
    <t>Custo (R$/1 mês)</t>
  </si>
  <si>
    <t>Diretoria Geral</t>
  </si>
  <si>
    <t>Diretoria Técnica de Transporte</t>
  </si>
  <si>
    <t>Gerência de Administração e Finanças</t>
  </si>
  <si>
    <t>* estima-se o valor com instalações e equipe. anualmente 0,48% (4% x 12%) sobre o valor do veículo novo</t>
  </si>
  <si>
    <t>Custo de Pessoal de Operação e Manutenção</t>
  </si>
  <si>
    <t>(profissional)</t>
  </si>
  <si>
    <t>Custo Total de Mão de Obra (Pessoal de Operação e Manutenção)</t>
  </si>
  <si>
    <t>Ajuste Folgas Semanais, Férias, etc. (%)</t>
  </si>
  <si>
    <t>Ajuste Folgas Semanais, Férias etc. (%)</t>
  </si>
  <si>
    <t>Recarga simultânea de 8 veículos em cada terminal</t>
  </si>
  <si>
    <t>Percentual de Pessoal para Cobrir Folgas, Férias,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</si>
</sst>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_ ;\-#,##0\ "/>
    <numFmt numFmtId="165" formatCode="_-* #,##0.0000_-;\-* #,##0.0000_-;_-* &quot;-&quot;??_-;_-@_-"/>
    <numFmt numFmtId="166" formatCode="0.00000"/>
    <numFmt numFmtId="167" formatCode="0.0000"/>
    <numFmt numFmtId="168" formatCode="0.0000000"/>
    <numFmt numFmtId="169" formatCode="0.000"/>
    <numFmt numFmtId="170" formatCode="_-* #,##0.00000_-;\-* #,##0.00000_-;_-* &quot;-&quot;??_-;_-@_-"/>
    <numFmt numFmtId="171" formatCode="0.0%"/>
    <numFmt numFmtId="172" formatCode="&quot;IOF( &quot;0.00%&quot; )&quot;"/>
    <numFmt numFmtId="173" formatCode="_-* #,##0_-;\-* #,##0_-;_-* &quot;-&quot;??_-;_-@_-"/>
  </numFmts>
  <fonts count="2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theme="1"/>
      <name val="Aptos Narrow"/>
      <family val="2"/>
      <charset val="128"/>
      <scheme val="minor"/>
    </font>
    <font>
      <sz val="10"/>
      <name val="Times New Roman"/>
      <family val="1"/>
    </font>
    <font>
      <sz val="12"/>
      <name val="Helv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Times New Roman"/>
      <family val="1"/>
    </font>
    <font>
      <sz val="10"/>
      <color rgb="FFFF000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color rgb="FFFF0000"/>
      <name val="Times New Roman"/>
      <family val="1"/>
    </font>
    <font>
      <sz val="11"/>
      <color theme="1"/>
      <name val="Times New Roman"/>
      <family val="1"/>
    </font>
    <font>
      <sz val="8"/>
      <name val="Aptos Narrow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Aptos Narrow"/>
      <family val="2"/>
      <scheme val="minor"/>
    </font>
    <font>
      <sz val="10"/>
      <color theme="1"/>
      <name val="Calibri"/>
      <family val="2"/>
    </font>
    <font>
      <vertAlign val="superscript"/>
      <sz val="10"/>
      <color theme="1"/>
      <name val="Times New Roman"/>
      <family val="1"/>
    </font>
    <font>
      <b/>
      <sz val="12"/>
      <name val="Times New Roman"/>
      <family val="1"/>
    </font>
    <font>
      <sz val="10"/>
      <color theme="1"/>
      <name val="Aptos Narrow"/>
      <family val="2"/>
    </font>
    <font>
      <b/>
      <sz val="11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>
      <alignment vertical="center"/>
    </xf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Protection="0">
      <alignment vertical="top" wrapText="1"/>
    </xf>
    <xf numFmtId="9" fontId="3" fillId="0" borderId="0" applyFont="0" applyFill="0" applyBorder="0" applyAlignment="0" applyProtection="0"/>
    <xf numFmtId="0" fontId="1" fillId="0" borderId="0"/>
    <xf numFmtId="37" fontId="4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5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3" fontId="6" fillId="0" borderId="1" xfId="1" applyFont="1" applyBorder="1" applyAlignment="1"/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3" fontId="6" fillId="0" borderId="1" xfId="0" applyNumberFormat="1" applyFont="1" applyBorder="1"/>
    <xf numFmtId="0" fontId="8" fillId="0" borderId="0" xfId="0" applyFont="1"/>
    <xf numFmtId="10" fontId="6" fillId="0" borderId="0" xfId="3" applyNumberFormat="1" applyFont="1" applyBorder="1" applyAlignment="1"/>
    <xf numFmtId="43" fontId="6" fillId="0" borderId="0" xfId="0" applyNumberFormat="1" applyFont="1"/>
    <xf numFmtId="43" fontId="7" fillId="0" borderId="0" xfId="0" applyNumberFormat="1" applyFont="1"/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/>
    </xf>
    <xf numFmtId="10" fontId="6" fillId="0" borderId="1" xfId="0" applyNumberFormat="1" applyFont="1" applyBorder="1"/>
    <xf numFmtId="0" fontId="3" fillId="0" borderId="0" xfId="0" applyFont="1" applyAlignment="1">
      <alignment horizontal="left" vertical="center"/>
    </xf>
    <xf numFmtId="43" fontId="7" fillId="0" borderId="0" xfId="1" applyFont="1" applyAlignment="1"/>
    <xf numFmtId="43" fontId="6" fillId="0" borderId="0" xfId="1" applyFont="1" applyAlignment="1"/>
    <xf numFmtId="43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3" fontId="7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6" fillId="0" borderId="0" xfId="0" applyFont="1" applyAlignment="1">
      <alignment horizontal="center"/>
    </xf>
    <xf numFmtId="43" fontId="6" fillId="0" borderId="0" xfId="1" applyFont="1"/>
    <xf numFmtId="0" fontId="3" fillId="0" borderId="1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/>
    </xf>
    <xf numFmtId="10" fontId="3" fillId="4" borderId="1" xfId="3" applyNumberFormat="1" applyFont="1" applyFill="1" applyBorder="1" applyAlignment="1">
      <alignment vertical="center"/>
    </xf>
    <xf numFmtId="43" fontId="3" fillId="0" borderId="1" xfId="1" applyFont="1" applyBorder="1" applyAlignment="1">
      <alignment vertical="center"/>
    </xf>
    <xf numFmtId="0" fontId="3" fillId="0" borderId="0" xfId="13" applyBorder="1" applyAlignment="1">
      <alignment vertical="center" wrapText="1"/>
    </xf>
    <xf numFmtId="0" fontId="3" fillId="0" borderId="0" xfId="13" applyAlignment="1">
      <alignment vertical="center" wrapText="1"/>
    </xf>
    <xf numFmtId="0" fontId="3" fillId="0" borderId="1" xfId="13" applyFill="1" applyBorder="1" applyAlignment="1">
      <alignment horizontal="center" vertical="center" wrapText="1"/>
    </xf>
    <xf numFmtId="0" fontId="3" fillId="4" borderId="1" xfId="13" applyFill="1" applyBorder="1" applyAlignment="1">
      <alignment vertical="center" wrapText="1"/>
    </xf>
    <xf numFmtId="0" fontId="3" fillId="4" borderId="1" xfId="13" applyFill="1" applyBorder="1" applyAlignment="1">
      <alignment vertical="center"/>
    </xf>
    <xf numFmtId="10" fontId="3" fillId="4" borderId="1" xfId="14" applyNumberFormat="1" applyFont="1" applyFill="1" applyBorder="1" applyAlignment="1">
      <alignment vertical="center"/>
    </xf>
    <xf numFmtId="0" fontId="3" fillId="0" borderId="1" xfId="13" applyBorder="1" applyAlignment="1">
      <alignment vertical="center"/>
    </xf>
    <xf numFmtId="0" fontId="3" fillId="0" borderId="0" xfId="13" applyAlignment="1">
      <alignment vertical="center"/>
    </xf>
    <xf numFmtId="43" fontId="3" fillId="0" borderId="0" xfId="13" applyNumberFormat="1" applyAlignment="1">
      <alignment vertical="center" wrapText="1"/>
    </xf>
    <xf numFmtId="10" fontId="3" fillId="0" borderId="1" xfId="3" applyNumberFormat="1" applyFont="1" applyBorder="1" applyAlignment="1">
      <alignment vertical="center"/>
    </xf>
    <xf numFmtId="43" fontId="3" fillId="0" borderId="1" xfId="7" applyFont="1" applyBorder="1" applyAlignment="1">
      <alignment vertical="center"/>
    </xf>
    <xf numFmtId="43" fontId="3" fillId="0" borderId="1" xfId="13" applyNumberFormat="1" applyBorder="1" applyAlignment="1">
      <alignment vertical="center" wrapText="1"/>
    </xf>
    <xf numFmtId="0" fontId="6" fillId="0" borderId="0" xfId="13" applyFont="1" applyFill="1" applyBorder="1" applyAlignment="1">
      <alignment vertical="center"/>
    </xf>
    <xf numFmtId="43" fontId="3" fillId="0" borderId="0" xfId="13" applyNumberFormat="1" applyAlignment="1">
      <alignment vertical="center"/>
    </xf>
    <xf numFmtId="43" fontId="5" fillId="0" borderId="0" xfId="13" applyNumberFormat="1" applyFont="1" applyAlignment="1">
      <alignment vertical="center"/>
    </xf>
    <xf numFmtId="43" fontId="3" fillId="0" borderId="1" xfId="13" applyNumberFormat="1" applyBorder="1" applyAlignment="1">
      <alignment vertical="center"/>
    </xf>
    <xf numFmtId="43" fontId="3" fillId="4" borderId="1" xfId="13" applyNumberFormat="1" applyFill="1" applyBorder="1" applyAlignment="1">
      <alignment vertical="center"/>
    </xf>
    <xf numFmtId="0" fontId="9" fillId="4" borderId="0" xfId="13" applyFont="1" applyFill="1" applyAlignment="1">
      <alignment vertical="center"/>
    </xf>
    <xf numFmtId="0" fontId="3" fillId="4" borderId="0" xfId="13" applyFill="1" applyAlignment="1">
      <alignment vertical="center"/>
    </xf>
    <xf numFmtId="43" fontId="5" fillId="0" borderId="0" xfId="7" applyFont="1" applyBorder="1" applyAlignment="1">
      <alignment horizontal="right" vertical="center"/>
    </xf>
    <xf numFmtId="43" fontId="5" fillId="0" borderId="0" xfId="13" applyNumberFormat="1" applyFont="1" applyBorder="1" applyAlignment="1">
      <alignment vertical="center"/>
    </xf>
    <xf numFmtId="43" fontId="3" fillId="0" borderId="0" xfId="7" applyFont="1" applyAlignment="1">
      <alignment vertical="center"/>
    </xf>
    <xf numFmtId="0" fontId="5" fillId="0" borderId="0" xfId="13" applyFont="1" applyAlignment="1">
      <alignment vertical="center" wrapText="1"/>
    </xf>
    <xf numFmtId="0" fontId="6" fillId="0" borderId="0" xfId="15" applyFont="1" applyAlignment="1">
      <alignment vertical="center"/>
    </xf>
    <xf numFmtId="0" fontId="6" fillId="0" borderId="1" xfId="15" applyFont="1" applyBorder="1" applyAlignment="1">
      <alignment vertical="center"/>
    </xf>
    <xf numFmtId="43" fontId="6" fillId="0" borderId="1" xfId="15" applyNumberFormat="1" applyFont="1" applyBorder="1" applyAlignment="1">
      <alignment vertical="center"/>
    </xf>
    <xf numFmtId="43" fontId="6" fillId="0" borderId="0" xfId="5" applyFont="1" applyFill="1" applyBorder="1" applyAlignment="1">
      <alignment vertical="center"/>
    </xf>
    <xf numFmtId="0" fontId="3" fillId="0" borderId="0" xfId="13" applyFill="1" applyAlignment="1">
      <alignment vertical="center" wrapText="1"/>
    </xf>
    <xf numFmtId="43" fontId="7" fillId="0" borderId="1" xfId="0" applyNumberFormat="1" applyFont="1" applyBorder="1"/>
    <xf numFmtId="0" fontId="7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44" fontId="6" fillId="0" borderId="6" xfId="2" applyFont="1" applyFill="1" applyBorder="1" applyAlignment="1">
      <alignment vertical="center"/>
    </xf>
    <xf numFmtId="166" fontId="6" fillId="0" borderId="2" xfId="0" applyNumberFormat="1" applyFont="1" applyBorder="1" applyAlignment="1">
      <alignment vertical="center"/>
    </xf>
    <xf numFmtId="43" fontId="6" fillId="0" borderId="2" xfId="1" applyFont="1" applyBorder="1" applyAlignment="1">
      <alignment vertical="center"/>
    </xf>
    <xf numFmtId="0" fontId="6" fillId="0" borderId="7" xfId="0" applyFont="1" applyBorder="1" applyAlignment="1">
      <alignment vertical="center"/>
    </xf>
    <xf numFmtId="44" fontId="6" fillId="0" borderId="8" xfId="2" applyFont="1" applyFill="1" applyBorder="1" applyAlignment="1">
      <alignment vertical="center"/>
    </xf>
    <xf numFmtId="166" fontId="6" fillId="0" borderId="1" xfId="0" applyNumberFormat="1" applyFont="1" applyBorder="1" applyAlignment="1">
      <alignment vertical="center"/>
    </xf>
    <xf numFmtId="43" fontId="6" fillId="0" borderId="1" xfId="1" applyFont="1" applyBorder="1" applyAlignment="1">
      <alignment vertical="center"/>
    </xf>
    <xf numFmtId="43" fontId="7" fillId="0" borderId="1" xfId="1" applyFont="1" applyBorder="1" applyAlignment="1">
      <alignment vertical="center"/>
    </xf>
    <xf numFmtId="0" fontId="1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9" fontId="6" fillId="0" borderId="1" xfId="3" applyFont="1" applyBorder="1" applyAlignment="1">
      <alignment vertical="center"/>
    </xf>
    <xf numFmtId="10" fontId="6" fillId="0" borderId="1" xfId="3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10" fontId="6" fillId="0" borderId="0" xfId="0" applyNumberFormat="1" applyFont="1" applyAlignment="1">
      <alignment vertical="center"/>
    </xf>
    <xf numFmtId="10" fontId="7" fillId="3" borderId="1" xfId="3" applyNumberFormat="1" applyFont="1" applyFill="1" applyBorder="1" applyAlignment="1">
      <alignment vertical="center"/>
    </xf>
    <xf numFmtId="171" fontId="3" fillId="0" borderId="1" xfId="3" applyNumberFormat="1" applyFont="1" applyBorder="1" applyAlignment="1">
      <alignment vertical="center"/>
    </xf>
    <xf numFmtId="171" fontId="7" fillId="3" borderId="1" xfId="0" applyNumberFormat="1" applyFont="1" applyFill="1" applyBorder="1" applyAlignment="1">
      <alignment vertical="center"/>
    </xf>
    <xf numFmtId="10" fontId="3" fillId="0" borderId="1" xfId="3" applyNumberFormat="1" applyFont="1" applyFill="1" applyBorder="1" applyAlignment="1">
      <alignment vertical="center"/>
    </xf>
    <xf numFmtId="10" fontId="7" fillId="0" borderId="1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10" fontId="7" fillId="0" borderId="1" xfId="3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3" fillId="0" borderId="0" xfId="0" applyFont="1"/>
    <xf numFmtId="43" fontId="6" fillId="0" borderId="0" xfId="0" applyNumberFormat="1" applyFont="1" applyAlignment="1">
      <alignment vertical="center"/>
    </xf>
    <xf numFmtId="171" fontId="6" fillId="0" borderId="1" xfId="0" applyNumberFormat="1" applyFont="1" applyBorder="1"/>
    <xf numFmtId="173" fontId="6" fillId="0" borderId="0" xfId="0" applyNumberFormat="1" applyFont="1"/>
    <xf numFmtId="43" fontId="6" fillId="0" borderId="0" xfId="1" applyFont="1" applyBorder="1" applyAlignment="1"/>
    <xf numFmtId="0" fontId="3" fillId="0" borderId="1" xfId="13" applyFill="1" applyBorder="1" applyAlignment="1">
      <alignment vertical="center"/>
    </xf>
    <xf numFmtId="43" fontId="3" fillId="0" borderId="0" xfId="13" applyNumberFormat="1" applyFill="1" applyAlignment="1">
      <alignment vertical="center"/>
    </xf>
    <xf numFmtId="0" fontId="5" fillId="0" borderId="0" xfId="13" applyFont="1" applyFill="1" applyAlignment="1">
      <alignment horizontal="right" vertical="center" wrapText="1"/>
    </xf>
    <xf numFmtId="43" fontId="5" fillId="0" borderId="0" xfId="13" applyNumberFormat="1" applyFont="1" applyFill="1" applyAlignment="1">
      <alignment vertical="center"/>
    </xf>
    <xf numFmtId="173" fontId="6" fillId="0" borderId="1" xfId="0" applyNumberFormat="1" applyFont="1" applyBorder="1"/>
    <xf numFmtId="0" fontId="15" fillId="0" borderId="0" xfId="0" applyFont="1"/>
    <xf numFmtId="4" fontId="10" fillId="0" borderId="1" xfId="16" applyNumberFormat="1" applyFont="1" applyBorder="1" applyAlignment="1">
      <alignment horizontal="right" vertical="center"/>
    </xf>
    <xf numFmtId="0" fontId="3" fillId="0" borderId="0" xfId="13" applyFill="1" applyAlignment="1">
      <alignment vertical="center"/>
    </xf>
    <xf numFmtId="0" fontId="3" fillId="0" borderId="1" xfId="13" applyFill="1" applyBorder="1" applyAlignment="1">
      <alignment vertical="center" wrapText="1"/>
    </xf>
    <xf numFmtId="10" fontId="3" fillId="0" borderId="1" xfId="14" applyNumberFormat="1" applyFont="1" applyFill="1" applyBorder="1" applyAlignment="1">
      <alignment vertical="center"/>
    </xf>
    <xf numFmtId="171" fontId="7" fillId="0" borderId="1" xfId="0" applyNumberFormat="1" applyFont="1" applyBorder="1"/>
    <xf numFmtId="10" fontId="6" fillId="0" borderId="0" xfId="0" applyNumberFormat="1" applyFont="1"/>
    <xf numFmtId="43" fontId="7" fillId="0" borderId="0" xfId="1" applyFont="1" applyFill="1" applyAlignment="1"/>
    <xf numFmtId="43" fontId="6" fillId="0" borderId="0" xfId="1" applyFont="1" applyFill="1" applyBorder="1" applyAlignment="1"/>
    <xf numFmtId="43" fontId="6" fillId="0" borderId="0" xfId="1" applyFont="1" applyFill="1" applyAlignment="1"/>
    <xf numFmtId="43" fontId="6" fillId="0" borderId="1" xfId="1" applyFont="1" applyBorder="1" applyProtection="1"/>
    <xf numFmtId="43" fontId="6" fillId="0" borderId="0" xfId="1" applyFont="1" applyProtection="1"/>
    <xf numFmtId="0" fontId="3" fillId="0" borderId="1" xfId="0" applyFont="1" applyBorder="1" applyAlignment="1">
      <alignment horizontal="center" vertical="center" shrinkToFit="1"/>
    </xf>
    <xf numFmtId="43" fontId="6" fillId="0" borderId="0" xfId="1" applyFont="1" applyBorder="1" applyProtection="1"/>
    <xf numFmtId="167" fontId="6" fillId="0" borderId="0" xfId="0" applyNumberFormat="1" applyFont="1"/>
    <xf numFmtId="165" fontId="6" fillId="0" borderId="1" xfId="1" applyNumberFormat="1" applyFont="1" applyFill="1" applyBorder="1" applyAlignment="1" applyProtection="1">
      <alignment horizontal="center"/>
    </xf>
    <xf numFmtId="167" fontId="6" fillId="0" borderId="1" xfId="0" applyNumberFormat="1" applyFont="1" applyBorder="1"/>
    <xf numFmtId="168" fontId="6" fillId="0" borderId="0" xfId="0" applyNumberFormat="1" applyFont="1"/>
    <xf numFmtId="165" fontId="6" fillId="0" borderId="0" xfId="1" applyNumberFormat="1" applyFont="1" applyProtection="1"/>
    <xf numFmtId="170" fontId="6" fillId="0" borderId="0" xfId="0" applyNumberFormat="1" applyFont="1"/>
    <xf numFmtId="43" fontId="6" fillId="2" borderId="1" xfId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65" fontId="6" fillId="2" borderId="1" xfId="1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169" fontId="6" fillId="2" borderId="1" xfId="0" applyNumberFormat="1" applyFont="1" applyFill="1" applyBorder="1" applyProtection="1">
      <protection locked="0"/>
    </xf>
    <xf numFmtId="10" fontId="6" fillId="2" borderId="1" xfId="3" applyNumberFormat="1" applyFont="1" applyFill="1" applyBorder="1" applyAlignment="1" applyProtection="1">
      <protection locked="0"/>
    </xf>
    <xf numFmtId="10" fontId="3" fillId="2" borderId="1" xfId="3" applyNumberFormat="1" applyFont="1" applyFill="1" applyBorder="1" applyAlignment="1" applyProtection="1">
      <protection locked="0"/>
    </xf>
    <xf numFmtId="43" fontId="6" fillId="2" borderId="1" xfId="0" applyNumberFormat="1" applyFont="1" applyFill="1" applyBorder="1" applyProtection="1">
      <protection locked="0"/>
    </xf>
    <xf numFmtId="4" fontId="10" fillId="2" borderId="1" xfId="16" applyNumberFormat="1" applyFont="1" applyFill="1" applyBorder="1" applyAlignment="1" applyProtection="1">
      <alignment horizontal="right" vertical="center"/>
      <protection locked="0"/>
    </xf>
    <xf numFmtId="10" fontId="10" fillId="2" borderId="1" xfId="16" applyNumberFormat="1" applyFont="1" applyFill="1" applyBorder="1" applyAlignment="1" applyProtection="1">
      <alignment horizontal="right" vertical="center"/>
      <protection locked="0"/>
    </xf>
    <xf numFmtId="43" fontId="6" fillId="2" borderId="1" xfId="1" applyFont="1" applyFill="1" applyBorder="1" applyAlignment="1" applyProtection="1">
      <protection locked="0"/>
    </xf>
    <xf numFmtId="43" fontId="3" fillId="2" borderId="1" xfId="1" applyFont="1" applyFill="1" applyBorder="1" applyAlignment="1" applyProtection="1">
      <alignment vertical="center"/>
      <protection locked="0"/>
    </xf>
    <xf numFmtId="43" fontId="3" fillId="2" borderId="1" xfId="7" applyFont="1" applyFill="1" applyBorder="1" applyAlignment="1" applyProtection="1">
      <alignment vertical="center"/>
      <protection locked="0"/>
    </xf>
    <xf numFmtId="43" fontId="6" fillId="2" borderId="1" xfId="15" applyNumberFormat="1" applyFont="1" applyFill="1" applyBorder="1" applyAlignment="1" applyProtection="1">
      <alignment vertical="center"/>
      <protection locked="0"/>
    </xf>
    <xf numFmtId="43" fontId="6" fillId="2" borderId="2" xfId="1" applyFont="1" applyFill="1" applyBorder="1" applyAlignment="1" applyProtection="1">
      <alignment vertical="center"/>
      <protection locked="0"/>
    </xf>
    <xf numFmtId="43" fontId="6" fillId="2" borderId="1" xfId="1" applyFont="1" applyFill="1" applyBorder="1" applyAlignment="1" applyProtection="1">
      <alignment vertical="center"/>
      <protection locked="0"/>
    </xf>
    <xf numFmtId="0" fontId="5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shrinkToFit="1"/>
    </xf>
    <xf numFmtId="43" fontId="6" fillId="4" borderId="1" xfId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vertical="center"/>
    </xf>
    <xf numFmtId="164" fontId="3" fillId="4" borderId="1" xfId="1" applyNumberFormat="1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right" vertical="center"/>
    </xf>
    <xf numFmtId="0" fontId="6" fillId="4" borderId="0" xfId="0" applyFont="1" applyFill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7" fillId="4" borderId="0" xfId="0" applyFont="1" applyFill="1"/>
    <xf numFmtId="0" fontId="6" fillId="4" borderId="0" xfId="0" applyFont="1" applyFill="1"/>
    <xf numFmtId="0" fontId="6" fillId="4" borderId="1" xfId="15" applyFont="1" applyFill="1" applyBorder="1" applyAlignment="1">
      <alignment horizontal="left" vertical="center"/>
    </xf>
    <xf numFmtId="0" fontId="3" fillId="4" borderId="0" xfId="0" applyFont="1" applyFill="1" applyAlignment="1">
      <alignment vertical="center" shrinkToFit="1"/>
    </xf>
    <xf numFmtId="43" fontId="6" fillId="4" borderId="1" xfId="0" applyNumberFormat="1" applyFont="1" applyFill="1" applyBorder="1"/>
    <xf numFmtId="0" fontId="3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left" vertical="center" wrapText="1"/>
    </xf>
    <xf numFmtId="0" fontId="5" fillId="4" borderId="0" xfId="13" applyFont="1" applyFill="1" applyBorder="1" applyAlignment="1">
      <alignment vertical="center"/>
    </xf>
    <xf numFmtId="0" fontId="3" fillId="4" borderId="0" xfId="13" applyFill="1" applyAlignment="1">
      <alignment vertical="center" wrapText="1"/>
    </xf>
    <xf numFmtId="0" fontId="3" fillId="4" borderId="1" xfId="13" applyFill="1" applyBorder="1" applyAlignment="1">
      <alignment horizontal="center" vertical="center" wrapText="1"/>
    </xf>
    <xf numFmtId="0" fontId="6" fillId="4" borderId="0" xfId="13" applyFont="1" applyFill="1" applyBorder="1" applyAlignment="1">
      <alignment vertical="center"/>
    </xf>
    <xf numFmtId="43" fontId="5" fillId="4" borderId="0" xfId="7" applyFont="1" applyFill="1" applyBorder="1" applyAlignment="1">
      <alignment horizontal="right" vertical="center"/>
    </xf>
    <xf numFmtId="0" fontId="6" fillId="4" borderId="0" xfId="15" applyFont="1" applyFill="1" applyAlignment="1">
      <alignment vertical="center"/>
    </xf>
    <xf numFmtId="0" fontId="5" fillId="4" borderId="0" xfId="13" applyFont="1" applyFill="1" applyAlignment="1">
      <alignment horizontal="center" vertical="center" wrapText="1"/>
    </xf>
    <xf numFmtId="0" fontId="0" fillId="4" borderId="0" xfId="0" applyFill="1"/>
    <xf numFmtId="0" fontId="6" fillId="4" borderId="1" xfId="0" applyFont="1" applyFill="1" applyBorder="1" applyAlignment="1">
      <alignment horizontal="left" indent="2"/>
    </xf>
    <xf numFmtId="0" fontId="7" fillId="0" borderId="1" xfId="0" applyFont="1" applyBorder="1"/>
    <xf numFmtId="0" fontId="6" fillId="0" borderId="1" xfId="0" applyFont="1" applyBorder="1" applyAlignment="1">
      <alignment horizontal="left" indent="2"/>
    </xf>
    <xf numFmtId="0" fontId="3" fillId="0" borderId="1" xfId="0" applyFont="1" applyBorder="1" applyAlignment="1">
      <alignment horizontal="left" indent="2"/>
    </xf>
    <xf numFmtId="43" fontId="6" fillId="0" borderId="1" xfId="1" applyFont="1" applyFill="1" applyBorder="1"/>
    <xf numFmtId="43" fontId="3" fillId="0" borderId="1" xfId="0" applyNumberFormat="1" applyFont="1" applyBorder="1"/>
    <xf numFmtId="173" fontId="7" fillId="0" borderId="1" xfId="1" applyNumberFormat="1" applyFont="1" applyBorder="1"/>
    <xf numFmtId="43" fontId="5" fillId="0" borderId="1" xfId="1" applyFont="1" applyFill="1" applyBorder="1"/>
    <xf numFmtId="0" fontId="5" fillId="4" borderId="0" xfId="13" applyFont="1" applyFill="1" applyAlignment="1">
      <alignment vertical="center" wrapText="1"/>
    </xf>
    <xf numFmtId="0" fontId="5" fillId="4" borderId="0" xfId="13" applyFont="1" applyFill="1" applyAlignment="1">
      <alignment vertical="center"/>
    </xf>
    <xf numFmtId="43" fontId="7" fillId="0" borderId="8" xfId="0" applyNumberFormat="1" applyFont="1" applyBorder="1"/>
    <xf numFmtId="0" fontId="10" fillId="0" borderId="1" xfId="16" applyNumberFormat="1" applyFont="1" applyBorder="1" applyAlignment="1">
      <alignment horizontal="left" vertical="center"/>
    </xf>
    <xf numFmtId="172" fontId="10" fillId="0" borderId="1" xfId="16" applyNumberFormat="1" applyFont="1" applyBorder="1" applyAlignment="1">
      <alignment horizontal="left" vertical="center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167" fontId="13" fillId="0" borderId="1" xfId="0" applyNumberFormat="1" applyFont="1" applyBorder="1" applyProtection="1">
      <protection locked="0"/>
    </xf>
    <xf numFmtId="167" fontId="13" fillId="0" borderId="1" xfId="0" applyNumberFormat="1" applyFont="1" applyBorder="1"/>
    <xf numFmtId="0" fontId="16" fillId="0" borderId="0" xfId="0" applyFont="1" applyAlignment="1">
      <alignment vertical="center"/>
    </xf>
    <xf numFmtId="0" fontId="16" fillId="0" borderId="0" xfId="0" applyFont="1"/>
    <xf numFmtId="0" fontId="17" fillId="0" borderId="0" xfId="0" applyFont="1"/>
    <xf numFmtId="0" fontId="6" fillId="0" borderId="0" xfId="0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4" fontId="6" fillId="0" borderId="0" xfId="0" applyNumberFormat="1" applyFont="1"/>
    <xf numFmtId="4" fontId="6" fillId="0" borderId="0" xfId="0" applyNumberFormat="1" applyFont="1" applyAlignment="1">
      <alignment horizontal="right" vertical="center" wrapText="1"/>
    </xf>
    <xf numFmtId="4" fontId="7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horizontal="justify" vertical="center" wrapText="1"/>
    </xf>
    <xf numFmtId="4" fontId="18" fillId="0" borderId="0" xfId="0" applyNumberFormat="1" applyFont="1" applyAlignment="1">
      <alignment horizontal="right" vertical="center"/>
    </xf>
    <xf numFmtId="4" fontId="0" fillId="0" borderId="0" xfId="0" applyNumberFormat="1"/>
    <xf numFmtId="4" fontId="11" fillId="0" borderId="1" xfId="16" applyNumberFormat="1" applyFont="1" applyBorder="1" applyAlignment="1">
      <alignment horizontal="right" vertical="center"/>
    </xf>
    <xf numFmtId="43" fontId="6" fillId="0" borderId="1" xfId="1" applyFont="1" applyFill="1" applyBorder="1" applyAlignment="1" applyProtection="1">
      <alignment horizontal="center"/>
    </xf>
    <xf numFmtId="0" fontId="6" fillId="0" borderId="1" xfId="0" applyFont="1" applyBorder="1" applyAlignment="1">
      <alignment horizontal="center" vertical="top"/>
    </xf>
    <xf numFmtId="0" fontId="6" fillId="0" borderId="0" xfId="0" applyFont="1" applyAlignment="1">
      <alignment horizontal="right"/>
    </xf>
    <xf numFmtId="43" fontId="6" fillId="0" borderId="0" xfId="1" applyFont="1" applyAlignment="1">
      <alignment horizontal="right"/>
    </xf>
    <xf numFmtId="0" fontId="7" fillId="0" borderId="7" xfId="0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43" fontId="7" fillId="0" borderId="1" xfId="0" applyNumberFormat="1" applyFont="1" applyBorder="1" applyAlignment="1">
      <alignment horizontal="right"/>
    </xf>
    <xf numFmtId="43" fontId="7" fillId="0" borderId="1" xfId="1" applyFont="1" applyBorder="1" applyAlignment="1"/>
    <xf numFmtId="0" fontId="6" fillId="0" borderId="7" xfId="0" applyFont="1" applyBorder="1"/>
    <xf numFmtId="0" fontId="7" fillId="0" borderId="11" xfId="0" applyFont="1" applyBorder="1"/>
    <xf numFmtId="43" fontId="7" fillId="0" borderId="1" xfId="1" applyFont="1" applyFill="1" applyBorder="1" applyAlignment="1"/>
    <xf numFmtId="0" fontId="11" fillId="0" borderId="1" xfId="16" applyNumberFormat="1" applyFont="1" applyBorder="1" applyAlignment="1">
      <alignment horizontal="left" vertical="center"/>
    </xf>
    <xf numFmtId="43" fontId="5" fillId="0" borderId="1" xfId="13" applyNumberFormat="1" applyFont="1" applyBorder="1" applyAlignment="1">
      <alignment vertical="center" wrapText="1"/>
    </xf>
    <xf numFmtId="43" fontId="5" fillId="0" borderId="1" xfId="13" applyNumberFormat="1" applyFont="1" applyBorder="1" applyAlignment="1">
      <alignment vertical="center"/>
    </xf>
    <xf numFmtId="43" fontId="5" fillId="0" borderId="1" xfId="13" applyNumberFormat="1" applyFont="1" applyFill="1" applyBorder="1" applyAlignment="1">
      <alignment vertical="center" wrapText="1"/>
    </xf>
    <xf numFmtId="43" fontId="5" fillId="0" borderId="1" xfId="13" applyNumberFormat="1" applyFont="1" applyFill="1" applyBorder="1" applyAlignment="1">
      <alignment vertical="center"/>
    </xf>
    <xf numFmtId="0" fontId="6" fillId="4" borderId="13" xfId="0" applyFont="1" applyFill="1" applyBorder="1" applyAlignment="1">
      <alignment wrapText="1"/>
    </xf>
    <xf numFmtId="173" fontId="6" fillId="0" borderId="14" xfId="1" applyNumberFormat="1" applyFont="1" applyBorder="1"/>
    <xf numFmtId="173" fontId="6" fillId="0" borderId="15" xfId="1" applyNumberFormat="1" applyFont="1" applyBorder="1"/>
    <xf numFmtId="0" fontId="6" fillId="4" borderId="16" xfId="0" applyFont="1" applyFill="1" applyBorder="1" applyAlignment="1">
      <alignment wrapText="1"/>
    </xf>
    <xf numFmtId="173" fontId="6" fillId="0" borderId="17" xfId="0" applyNumberFormat="1" applyFont="1" applyBorder="1"/>
    <xf numFmtId="0" fontId="6" fillId="4" borderId="18" xfId="0" applyFont="1" applyFill="1" applyBorder="1" applyAlignment="1">
      <alignment wrapText="1"/>
    </xf>
    <xf numFmtId="173" fontId="6" fillId="0" borderId="19" xfId="0" applyNumberFormat="1" applyFont="1" applyBorder="1"/>
    <xf numFmtId="173" fontId="6" fillId="0" borderId="20" xfId="0" applyNumberFormat="1" applyFont="1" applyBorder="1"/>
    <xf numFmtId="0" fontId="6" fillId="4" borderId="21" xfId="0" applyFont="1" applyFill="1" applyBorder="1" applyAlignment="1">
      <alignment wrapText="1"/>
    </xf>
    <xf numFmtId="173" fontId="6" fillId="0" borderId="15" xfId="0" applyNumberFormat="1" applyFont="1" applyBorder="1"/>
    <xf numFmtId="0" fontId="6" fillId="4" borderId="22" xfId="0" applyFont="1" applyFill="1" applyBorder="1" applyAlignment="1">
      <alignment wrapText="1"/>
    </xf>
    <xf numFmtId="9" fontId="6" fillId="0" borderId="23" xfId="0" applyNumberFormat="1" applyFont="1" applyBorder="1"/>
    <xf numFmtId="0" fontId="6" fillId="4" borderId="24" xfId="0" applyFont="1" applyFill="1" applyBorder="1"/>
    <xf numFmtId="2" fontId="7" fillId="0" borderId="20" xfId="0" applyNumberFormat="1" applyFont="1" applyBorder="1"/>
    <xf numFmtId="0" fontId="6" fillId="4" borderId="13" xfId="0" applyFont="1" applyFill="1" applyBorder="1"/>
    <xf numFmtId="0" fontId="6" fillId="4" borderId="14" xfId="0" applyFont="1" applyFill="1" applyBorder="1" applyAlignment="1">
      <alignment horizontal="center"/>
    </xf>
    <xf numFmtId="0" fontId="6" fillId="4" borderId="16" xfId="0" applyFont="1" applyFill="1" applyBorder="1"/>
    <xf numFmtId="43" fontId="6" fillId="4" borderId="17" xfId="0" applyNumberFormat="1" applyFont="1" applyFill="1" applyBorder="1"/>
    <xf numFmtId="43" fontId="7" fillId="4" borderId="20" xfId="0" applyNumberFormat="1" applyFont="1" applyFill="1" applyBorder="1"/>
    <xf numFmtId="165" fontId="13" fillId="0" borderId="1" xfId="1" applyNumberFormat="1" applyFont="1" applyBorder="1"/>
    <xf numFmtId="0" fontId="13" fillId="0" borderId="1" xfId="0" applyFont="1" applyBorder="1" applyAlignment="1">
      <alignment horizontal="right"/>
    </xf>
    <xf numFmtId="9" fontId="13" fillId="0" borderId="1" xfId="0" applyNumberFormat="1" applyFont="1" applyBorder="1"/>
    <xf numFmtId="0" fontId="7" fillId="4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4" borderId="1" xfId="15" applyFont="1" applyFill="1" applyBorder="1" applyAlignment="1">
      <alignment vertical="center" wrapText="1"/>
    </xf>
    <xf numFmtId="0" fontId="7" fillId="0" borderId="7" xfId="0" applyFont="1" applyBorder="1" applyAlignment="1">
      <alignment wrapText="1"/>
    </xf>
    <xf numFmtId="0" fontId="7" fillId="0" borderId="10" xfId="0" applyFont="1" applyBorder="1" applyAlignment="1">
      <alignment wrapText="1"/>
    </xf>
    <xf numFmtId="43" fontId="7" fillId="0" borderId="1" xfId="1" applyFont="1" applyBorder="1" applyAlignment="1">
      <alignment horizontal="right" vertical="center"/>
    </xf>
    <xf numFmtId="43" fontId="7" fillId="0" borderId="2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0" fillId="0" borderId="1" xfId="16" applyNumberFormat="1" applyFont="1" applyBorder="1" applyAlignment="1">
      <alignment horizontal="left" vertical="center" wrapText="1"/>
    </xf>
    <xf numFmtId="0" fontId="6" fillId="4" borderId="1" xfId="15" applyFont="1" applyFill="1" applyBorder="1" applyAlignment="1">
      <alignment horizontal="left" vertical="center" wrapText="1"/>
    </xf>
    <xf numFmtId="0" fontId="7" fillId="0" borderId="1" xfId="0" applyFont="1" applyBorder="1" applyAlignment="1">
      <alignment wrapText="1"/>
    </xf>
    <xf numFmtId="43" fontId="6" fillId="4" borderId="1" xfId="1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5" xfId="13" applyFill="1" applyBorder="1" applyAlignment="1">
      <alignment horizontal="center" vertical="center" wrapText="1"/>
    </xf>
    <xf numFmtId="0" fontId="3" fillId="0" borderId="2" xfId="13" applyFill="1" applyBorder="1" applyAlignment="1">
      <alignment horizontal="center" vertical="center" wrapText="1"/>
    </xf>
    <xf numFmtId="0" fontId="3" fillId="4" borderId="5" xfId="13" applyFill="1" applyBorder="1" applyAlignment="1">
      <alignment horizontal="center" vertical="center" wrapText="1"/>
    </xf>
    <xf numFmtId="0" fontId="20" fillId="4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43" fontId="6" fillId="2" borderId="2" xfId="1" applyFont="1" applyFill="1" applyBorder="1" applyProtection="1">
      <protection locked="0"/>
    </xf>
    <xf numFmtId="0" fontId="6" fillId="4" borderId="5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43" fontId="6" fillId="0" borderId="2" xfId="1" applyFont="1" applyBorder="1" applyProtection="1"/>
    <xf numFmtId="2" fontId="6" fillId="2" borderId="2" xfId="0" applyNumberFormat="1" applyFont="1" applyFill="1" applyBorder="1" applyProtection="1">
      <protection locked="0"/>
    </xf>
    <xf numFmtId="43" fontId="6" fillId="0" borderId="2" xfId="0" applyNumberFormat="1" applyFont="1" applyBorder="1"/>
    <xf numFmtId="0" fontId="6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7" fontId="6" fillId="2" borderId="2" xfId="0" applyNumberFormat="1" applyFont="1" applyFill="1" applyBorder="1" applyProtection="1">
      <protection locked="0"/>
    </xf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/>
    </xf>
    <xf numFmtId="165" fontId="6" fillId="2" borderId="2" xfId="1" applyNumberFormat="1" applyFont="1" applyFill="1" applyBorder="1" applyProtection="1">
      <protection locked="0"/>
    </xf>
    <xf numFmtId="43" fontId="6" fillId="0" borderId="2" xfId="0" applyNumberFormat="1" applyFont="1" applyBorder="1" applyAlignment="1">
      <alignment horizontal="center"/>
    </xf>
    <xf numFmtId="167" fontId="6" fillId="0" borderId="2" xfId="0" applyNumberFormat="1" applyFont="1" applyBorder="1"/>
    <xf numFmtId="0" fontId="6" fillId="0" borderId="2" xfId="0" applyFont="1" applyBorder="1"/>
    <xf numFmtId="0" fontId="6" fillId="2" borderId="2" xfId="0" applyFont="1" applyFill="1" applyBorder="1" applyProtection="1">
      <protection locked="0"/>
    </xf>
    <xf numFmtId="0" fontId="6" fillId="0" borderId="10" xfId="0" applyFont="1" applyBorder="1" applyAlignment="1">
      <alignment horizontal="center" vertical="center"/>
    </xf>
    <xf numFmtId="43" fontId="6" fillId="0" borderId="2" xfId="1" applyFont="1" applyBorder="1" applyAlignment="1"/>
    <xf numFmtId="10" fontId="6" fillId="0" borderId="2" xfId="0" applyNumberFormat="1" applyFont="1" applyBorder="1"/>
    <xf numFmtId="43" fontId="6" fillId="2" borderId="2" xfId="0" applyNumberFormat="1" applyFont="1" applyFill="1" applyBorder="1" applyProtection="1">
      <protection locked="0"/>
    </xf>
    <xf numFmtId="0" fontId="6" fillId="0" borderId="1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0" fontId="6" fillId="4" borderId="2" xfId="0" applyNumberFormat="1" applyFont="1" applyFill="1" applyBorder="1"/>
    <xf numFmtId="43" fontId="3" fillId="2" borderId="2" xfId="1" applyFont="1" applyFill="1" applyBorder="1" applyAlignment="1" applyProtection="1">
      <alignment vertical="center"/>
      <protection locked="0"/>
    </xf>
    <xf numFmtId="43" fontId="6" fillId="0" borderId="2" xfId="1" applyFont="1" applyBorder="1"/>
    <xf numFmtId="0" fontId="3" fillId="4" borderId="26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3" fontId="3" fillId="2" borderId="2" xfId="7" applyFont="1" applyFill="1" applyBorder="1" applyAlignment="1" applyProtection="1">
      <alignment vertical="center"/>
      <protection locked="0"/>
    </xf>
    <xf numFmtId="10" fontId="3" fillId="0" borderId="2" xfId="3" applyNumberFormat="1" applyFont="1" applyBorder="1" applyAlignment="1">
      <alignment vertical="center"/>
    </xf>
    <xf numFmtId="43" fontId="3" fillId="0" borderId="2" xfId="7" applyFont="1" applyBorder="1" applyAlignment="1">
      <alignment vertical="center"/>
    </xf>
    <xf numFmtId="0" fontId="3" fillId="4" borderId="26" xfId="13" applyFill="1" applyBorder="1" applyAlignment="1">
      <alignment horizontal="center" vertical="center" wrapText="1"/>
    </xf>
    <xf numFmtId="0" fontId="3" fillId="4" borderId="28" xfId="13" applyFill="1" applyBorder="1" applyAlignment="1">
      <alignment horizontal="center" vertical="center" wrapText="1"/>
    </xf>
    <xf numFmtId="0" fontId="3" fillId="0" borderId="10" xfId="13" applyBorder="1" applyAlignment="1">
      <alignment horizontal="center" vertical="center" wrapText="1"/>
    </xf>
    <xf numFmtId="0" fontId="3" fillId="0" borderId="12" xfId="13" applyBorder="1" applyAlignment="1">
      <alignment horizontal="center" vertical="center" wrapText="1"/>
    </xf>
    <xf numFmtId="0" fontId="3" fillId="0" borderId="6" xfId="13" applyBorder="1" applyAlignment="1">
      <alignment horizontal="center" vertical="center" wrapText="1"/>
    </xf>
    <xf numFmtId="0" fontId="3" fillId="0" borderId="2" xfId="13" applyBorder="1" applyAlignment="1">
      <alignment horizontal="center" vertical="center" wrapText="1"/>
    </xf>
    <xf numFmtId="0" fontId="3" fillId="4" borderId="2" xfId="13" applyFill="1" applyBorder="1" applyAlignment="1">
      <alignment vertical="center" wrapText="1"/>
    </xf>
    <xf numFmtId="43" fontId="3" fillId="0" borderId="2" xfId="13" applyNumberFormat="1" applyBorder="1" applyAlignment="1">
      <alignment vertical="center" wrapText="1"/>
    </xf>
    <xf numFmtId="0" fontId="3" fillId="0" borderId="27" xfId="13" applyBorder="1" applyAlignment="1">
      <alignment horizontal="center" vertical="center" wrapText="1"/>
    </xf>
    <xf numFmtId="0" fontId="3" fillId="4" borderId="10" xfId="13" applyFill="1" applyBorder="1" applyAlignment="1">
      <alignment horizontal="center" vertical="center" wrapText="1"/>
    </xf>
    <xf numFmtId="0" fontId="3" fillId="0" borderId="5" xfId="13" applyBorder="1" applyAlignment="1">
      <alignment horizontal="center" vertical="center" wrapText="1"/>
    </xf>
    <xf numFmtId="0" fontId="3" fillId="4" borderId="2" xfId="13" applyFill="1" applyBorder="1" applyAlignment="1">
      <alignment vertical="center"/>
    </xf>
    <xf numFmtId="43" fontId="3" fillId="0" borderId="2" xfId="1" applyFont="1" applyBorder="1" applyAlignment="1">
      <alignment vertical="center"/>
    </xf>
    <xf numFmtId="43" fontId="3" fillId="0" borderId="2" xfId="13" applyNumberFormat="1" applyBorder="1" applyAlignment="1">
      <alignment vertical="center"/>
    </xf>
    <xf numFmtId="0" fontId="3" fillId="0" borderId="2" xfId="13" applyBorder="1" applyAlignment="1">
      <alignment vertical="center"/>
    </xf>
    <xf numFmtId="0" fontId="6" fillId="0" borderId="2" xfId="15" applyFont="1" applyBorder="1" applyAlignment="1">
      <alignment vertical="center"/>
    </xf>
    <xf numFmtId="43" fontId="6" fillId="2" borderId="2" xfId="15" applyNumberFormat="1" applyFont="1" applyFill="1" applyBorder="1" applyAlignment="1" applyProtection="1">
      <alignment vertical="center"/>
      <protection locked="0"/>
    </xf>
    <xf numFmtId="43" fontId="6" fillId="0" borderId="2" xfId="15" applyNumberFormat="1" applyFont="1" applyBorder="1" applyAlignment="1">
      <alignment vertical="center"/>
    </xf>
    <xf numFmtId="10" fontId="3" fillId="0" borderId="2" xfId="3" applyNumberFormat="1" applyFont="1" applyFill="1" applyBorder="1" applyAlignment="1">
      <alignment vertical="center"/>
    </xf>
    <xf numFmtId="43" fontId="3" fillId="0" borderId="2" xfId="7" applyFont="1" applyFill="1" applyBorder="1" applyAlignment="1">
      <alignment vertical="center"/>
    </xf>
    <xf numFmtId="0" fontId="3" fillId="0" borderId="27" xfId="13" applyFill="1" applyBorder="1" applyAlignment="1">
      <alignment horizontal="center" vertical="center" wrapText="1"/>
    </xf>
    <xf numFmtId="0" fontId="3" fillId="0" borderId="28" xfId="13" applyFill="1" applyBorder="1" applyAlignment="1">
      <alignment horizontal="center" vertical="center" wrapText="1"/>
    </xf>
    <xf numFmtId="0" fontId="3" fillId="0" borderId="12" xfId="13" applyFill="1" applyBorder="1" applyAlignment="1">
      <alignment horizontal="center" vertical="center" wrapText="1"/>
    </xf>
    <xf numFmtId="0" fontId="3" fillId="0" borderId="6" xfId="13" applyFill="1" applyBorder="1" applyAlignment="1">
      <alignment horizontal="center" vertical="center" wrapText="1"/>
    </xf>
    <xf numFmtId="43" fontId="3" fillId="0" borderId="2" xfId="13" applyNumberFormat="1" applyFill="1" applyBorder="1" applyAlignment="1">
      <alignment vertical="center" wrapText="1"/>
    </xf>
    <xf numFmtId="43" fontId="3" fillId="0" borderId="2" xfId="1" applyFont="1" applyFill="1" applyBorder="1" applyAlignment="1">
      <alignment vertical="center"/>
    </xf>
    <xf numFmtId="43" fontId="3" fillId="2" borderId="10" xfId="1" applyFont="1" applyFill="1" applyBorder="1" applyAlignment="1" applyProtection="1">
      <alignment vertical="center"/>
      <protection locked="0"/>
    </xf>
    <xf numFmtId="43" fontId="3" fillId="0" borderId="2" xfId="13" applyNumberFormat="1" applyFill="1" applyBorder="1" applyAlignment="1">
      <alignment vertical="center"/>
    </xf>
    <xf numFmtId="43" fontId="3" fillId="0" borderId="12" xfId="13" applyNumberFormat="1" applyFill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9" fontId="7" fillId="0" borderId="1" xfId="3" applyFont="1" applyBorder="1" applyAlignment="1">
      <alignment vertical="center"/>
    </xf>
    <xf numFmtId="43" fontId="6" fillId="0" borderId="2" xfId="1" applyFont="1" applyFill="1" applyBorder="1" applyProtection="1"/>
    <xf numFmtId="0" fontId="6" fillId="0" borderId="26" xfId="0" applyFont="1" applyBorder="1"/>
    <xf numFmtId="0" fontId="6" fillId="0" borderId="10" xfId="0" applyFont="1" applyBorder="1"/>
    <xf numFmtId="43" fontId="6" fillId="2" borderId="2" xfId="1" applyFont="1" applyFill="1" applyBorder="1" applyAlignment="1" applyProtection="1">
      <protection locked="0"/>
    </xf>
    <xf numFmtId="43" fontId="6" fillId="0" borderId="2" xfId="1" applyFont="1" applyFill="1" applyBorder="1" applyAlignment="1"/>
    <xf numFmtId="43" fontId="6" fillId="0" borderId="2" xfId="1" applyFont="1" applyFill="1" applyBorder="1" applyAlignment="1">
      <alignment vertical="center"/>
    </xf>
    <xf numFmtId="0" fontId="6" fillId="0" borderId="11" xfId="0" applyFont="1" applyBorder="1"/>
    <xf numFmtId="43" fontId="6" fillId="0" borderId="11" xfId="0" applyNumberFormat="1" applyFont="1" applyBorder="1"/>
    <xf numFmtId="0" fontId="6" fillId="0" borderId="8" xfId="0" applyFont="1" applyBorder="1"/>
    <xf numFmtId="0" fontId="22" fillId="4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13" fillId="4" borderId="0" xfId="0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13" applyFont="1" applyAlignment="1">
      <alignment vertical="center" wrapText="1"/>
    </xf>
    <xf numFmtId="0" fontId="22" fillId="4" borderId="0" xfId="13" applyFont="1" applyFill="1" applyBorder="1" applyAlignment="1">
      <alignment vertical="center"/>
    </xf>
    <xf numFmtId="0" fontId="1" fillId="4" borderId="0" xfId="0" applyFont="1" applyFill="1"/>
    <xf numFmtId="0" fontId="1" fillId="0" borderId="0" xfId="0" applyFont="1"/>
    <xf numFmtId="0" fontId="13" fillId="4" borderId="0" xfId="0" applyFont="1" applyFill="1"/>
    <xf numFmtId="0" fontId="3" fillId="4" borderId="15" xfId="0" applyFont="1" applyFill="1" applyBorder="1" applyAlignment="1">
      <alignment horizontal="center" vertical="center"/>
    </xf>
    <xf numFmtId="0" fontId="22" fillId="0" borderId="0" xfId="13" applyFont="1" applyFill="1" applyBorder="1" applyAlignment="1">
      <alignment vertical="center"/>
    </xf>
    <xf numFmtId="43" fontId="6" fillId="4" borderId="1" xfId="0" applyNumberFormat="1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7" fillId="4" borderId="7" xfId="0" applyFont="1" applyFill="1" applyBorder="1" applyAlignment="1">
      <alignment horizontal="right"/>
    </xf>
    <xf numFmtId="0" fontId="7" fillId="4" borderId="11" xfId="0" applyFont="1" applyFill="1" applyBorder="1" applyAlignment="1">
      <alignment horizontal="right"/>
    </xf>
    <xf numFmtId="0" fontId="6" fillId="0" borderId="2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right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right" wrapText="1"/>
    </xf>
    <xf numFmtId="0" fontId="7" fillId="0" borderId="11" xfId="0" applyFont="1" applyBorder="1" applyAlignment="1">
      <alignment horizontal="right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right"/>
    </xf>
    <xf numFmtId="0" fontId="3" fillId="4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4" borderId="0" xfId="13" applyFont="1" applyFill="1" applyAlignment="1">
      <alignment horizontal="center" vertical="center" wrapText="1"/>
    </xf>
    <xf numFmtId="0" fontId="3" fillId="4" borderId="0" xfId="13" applyFill="1" applyAlignment="1">
      <alignment horizontal="center" vertical="center" wrapText="1"/>
    </xf>
    <xf numFmtId="0" fontId="6" fillId="4" borderId="26" xfId="15" applyFont="1" applyFill="1" applyBorder="1" applyAlignment="1">
      <alignment horizontal="center" vertical="center" wrapText="1"/>
    </xf>
    <xf numFmtId="0" fontId="6" fillId="4" borderId="10" xfId="15" applyFont="1" applyFill="1" applyBorder="1" applyAlignment="1">
      <alignment horizontal="center" vertical="center" wrapText="1"/>
    </xf>
    <xf numFmtId="0" fontId="3" fillId="0" borderId="26" xfId="13" applyFill="1" applyBorder="1" applyAlignment="1">
      <alignment horizontal="center" vertical="center" wrapText="1"/>
    </xf>
    <xf numFmtId="0" fontId="3" fillId="0" borderId="10" xfId="13" applyFill="1" applyBorder="1" applyAlignment="1">
      <alignment horizontal="center" vertical="center" wrapText="1"/>
    </xf>
    <xf numFmtId="0" fontId="5" fillId="4" borderId="7" xfId="13" applyFont="1" applyFill="1" applyBorder="1" applyAlignment="1">
      <alignment horizontal="right" vertical="center" wrapText="1"/>
    </xf>
    <xf numFmtId="0" fontId="5" fillId="4" borderId="11" xfId="13" applyFont="1" applyFill="1" applyBorder="1" applyAlignment="1">
      <alignment horizontal="right" vertical="center" wrapText="1"/>
    </xf>
    <xf numFmtId="0" fontId="22" fillId="0" borderId="0" xfId="13" applyFont="1" applyAlignment="1">
      <alignment horizontal="center" vertical="center" wrapText="1"/>
    </xf>
    <xf numFmtId="0" fontId="3" fillId="4" borderId="7" xfId="13" applyFill="1" applyBorder="1" applyAlignment="1">
      <alignment horizontal="center" vertical="center" wrapText="1"/>
    </xf>
    <xf numFmtId="0" fontId="3" fillId="4" borderId="26" xfId="13" applyFill="1" applyBorder="1" applyAlignment="1">
      <alignment horizontal="center" vertical="center" wrapText="1"/>
    </xf>
    <xf numFmtId="0" fontId="3" fillId="4" borderId="10" xfId="13" applyFill="1" applyBorder="1" applyAlignment="1">
      <alignment horizontal="center" vertical="center" wrapText="1"/>
    </xf>
    <xf numFmtId="0" fontId="5" fillId="0" borderId="7" xfId="13" applyFont="1" applyBorder="1" applyAlignment="1">
      <alignment vertical="center" wrapText="1"/>
    </xf>
    <xf numFmtId="0" fontId="5" fillId="0" borderId="11" xfId="13" applyFont="1" applyBorder="1" applyAlignment="1">
      <alignment vertical="center" wrapText="1"/>
    </xf>
    <xf numFmtId="0" fontId="5" fillId="0" borderId="7" xfId="13" applyFont="1" applyBorder="1" applyAlignment="1">
      <alignment horizontal="right" vertical="center" wrapText="1"/>
    </xf>
    <xf numFmtId="0" fontId="5" fillId="0" borderId="11" xfId="13" applyFont="1" applyBorder="1" applyAlignment="1">
      <alignment horizontal="right" vertical="center" wrapText="1"/>
    </xf>
    <xf numFmtId="0" fontId="5" fillId="4" borderId="12" xfId="13" applyFont="1" applyFill="1" applyBorder="1" applyAlignment="1">
      <alignment horizontal="left" vertical="center" wrapText="1"/>
    </xf>
    <xf numFmtId="0" fontId="5" fillId="4" borderId="0" xfId="13" applyFont="1" applyFill="1" applyBorder="1" applyAlignment="1">
      <alignment horizontal="left" vertical="center" wrapText="1"/>
    </xf>
    <xf numFmtId="0" fontId="5" fillId="0" borderId="7" xfId="13" applyFont="1" applyFill="1" applyBorder="1" applyAlignment="1">
      <alignment horizontal="left" vertical="center" wrapText="1"/>
    </xf>
    <xf numFmtId="0" fontId="5" fillId="0" borderId="11" xfId="13" applyFont="1" applyFill="1" applyBorder="1" applyAlignment="1">
      <alignment horizontal="left" vertical="center" wrapText="1"/>
    </xf>
    <xf numFmtId="0" fontId="3" fillId="4" borderId="5" xfId="13" applyFill="1" applyBorder="1" applyAlignment="1">
      <alignment horizontal="center" vertical="center" wrapText="1"/>
    </xf>
    <xf numFmtId="0" fontId="3" fillId="4" borderId="2" xfId="13" applyFill="1" applyBorder="1" applyAlignment="1">
      <alignment horizontal="center" vertical="center" wrapText="1"/>
    </xf>
    <xf numFmtId="0" fontId="5" fillId="0" borderId="7" xfId="13" applyFont="1" applyFill="1" applyBorder="1" applyAlignment="1">
      <alignment horizontal="right" vertical="center" wrapText="1"/>
    </xf>
    <xf numFmtId="0" fontId="5" fillId="0" borderId="11" xfId="13" applyFont="1" applyFill="1" applyBorder="1" applyAlignment="1">
      <alignment horizontal="right" vertical="center" wrapText="1"/>
    </xf>
    <xf numFmtId="0" fontId="5" fillId="4" borderId="12" xfId="13" applyFont="1" applyFill="1" applyBorder="1" applyAlignment="1">
      <alignment horizontal="center" vertical="center" wrapText="1"/>
    </xf>
    <xf numFmtId="0" fontId="5" fillId="4" borderId="0" xfId="13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left"/>
    </xf>
    <xf numFmtId="0" fontId="7" fillId="4" borderId="25" xfId="0" applyFont="1" applyFill="1" applyBorder="1" applyAlignment="1">
      <alignment horizontal="left"/>
    </xf>
    <xf numFmtId="0" fontId="7" fillId="0" borderId="0" xfId="0" applyFont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0" borderId="7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/>
    </xf>
    <xf numFmtId="0" fontId="13" fillId="0" borderId="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7" fillId="2" borderId="0" xfId="0" applyFont="1" applyFill="1" applyAlignment="1" applyProtection="1">
      <alignment vertical="center"/>
      <protection locked="0"/>
    </xf>
    <xf numFmtId="43" fontId="7" fillId="2" borderId="1" xfId="0" applyNumberFormat="1" applyFont="1" applyFill="1" applyBorder="1" applyProtection="1">
      <protection locked="0"/>
    </xf>
  </cellXfs>
  <cellStyles count="27">
    <cellStyle name="Moeda" xfId="2" builtinId="4"/>
    <cellStyle name="Moeda 2" xfId="6"/>
    <cellStyle name="Moeda 2 2" xfId="11"/>
    <cellStyle name="Moeda 2 2 2" xfId="25"/>
    <cellStyle name="Moeda 2 3" xfId="20"/>
    <cellStyle name="Moeda 3" xfId="9"/>
    <cellStyle name="Moeda 3 2" xfId="23"/>
    <cellStyle name="Moeda 4" xfId="18"/>
    <cellStyle name="Normal" xfId="0" builtinId="0"/>
    <cellStyle name="Normal 2" xfId="4"/>
    <cellStyle name="Normal 2 2" xfId="15"/>
    <cellStyle name="Normal 3" xfId="13"/>
    <cellStyle name="Normal_Rodoanel Sul Leste V3 sh" xfId="16"/>
    <cellStyle name="Porcentagem" xfId="3" builtinId="5"/>
    <cellStyle name="Porcentagem 2" xfId="14"/>
    <cellStyle name="Vírgula" xfId="1" builtinId="3"/>
    <cellStyle name="Vírgula 2" xfId="5"/>
    <cellStyle name="Vírgula 2 2" xfId="10"/>
    <cellStyle name="Vírgula 2 2 2" xfId="24"/>
    <cellStyle name="Vírgula 2 3" xfId="19"/>
    <cellStyle name="Vírgula 3" xfId="7"/>
    <cellStyle name="Vírgula 3 2" xfId="12"/>
    <cellStyle name="Vírgula 3 2 2" xfId="26"/>
    <cellStyle name="Vírgula 3 3" xfId="21"/>
    <cellStyle name="Vírgula 4" xfId="8"/>
    <cellStyle name="Vírgula 4 2" xfId="22"/>
    <cellStyle name="Vírgula 5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174625</xdr:colOff>
      <xdr:row>32</xdr:row>
      <xdr:rowOff>63500</xdr:rowOff>
    </xdr:from>
    <xdr:ext cx="184731" cy="26456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113D3BC1-439C-7F73-01D1-D5C703114FA9}"/>
            </a:ext>
          </a:extLst>
        </xdr:cNvPr>
        <xdr:cNvSpPr txBox="1"/>
      </xdr:nvSpPr>
      <xdr:spPr>
        <a:xfrm>
          <a:off x="9286875" y="534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 kern="12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showGridLines="0" view="pageBreakPreview" zoomScaleNormal="100" zoomScaleSheetLayoutView="100" workbookViewId="0">
      <selection activeCell="A2" sqref="A2"/>
    </sheetView>
  </sheetViews>
  <sheetFormatPr defaultColWidth="9.125" defaultRowHeight="12.75"/>
  <cols>
    <col min="1" max="1" width="15.375" style="27" customWidth="1"/>
    <col min="2" max="2" width="17.125" style="27" bestFit="1" customWidth="1"/>
    <col min="3" max="3" width="15.375" style="27" customWidth="1"/>
    <col min="4" max="4" width="30.375" style="27" bestFit="1" customWidth="1"/>
    <col min="5" max="5" width="17.125" style="28" bestFit="1" customWidth="1"/>
    <col min="6" max="6" width="12.875" style="28" bestFit="1" customWidth="1"/>
    <col min="7" max="7" width="11.375" style="27" bestFit="1" customWidth="1"/>
    <col min="8" max="16384" width="9.125" style="27"/>
  </cols>
  <sheetData>
    <row r="1" spans="1:6">
      <c r="A1" s="1" t="s">
        <v>244</v>
      </c>
    </row>
    <row r="2" spans="1:6">
      <c r="A2" s="423" t="s">
        <v>242</v>
      </c>
    </row>
    <row r="5" spans="1:6" s="338" customFormat="1" ht="15">
      <c r="A5" s="334" t="s">
        <v>269</v>
      </c>
      <c r="B5" s="335"/>
      <c r="C5" s="336"/>
      <c r="D5" s="336"/>
      <c r="E5" s="337"/>
      <c r="F5" s="337"/>
    </row>
    <row r="7" spans="1:6" ht="25.5">
      <c r="B7" s="29" t="s">
        <v>1</v>
      </c>
      <c r="C7" s="29" t="s">
        <v>245</v>
      </c>
      <c r="D7" s="29" t="s">
        <v>246</v>
      </c>
      <c r="E7" s="25" t="s">
        <v>130</v>
      </c>
      <c r="F7" s="25" t="s">
        <v>201</v>
      </c>
    </row>
    <row r="8" spans="1:6">
      <c r="B8" s="143" t="s">
        <v>113</v>
      </c>
      <c r="C8" s="246">
        <v>4153370.6</v>
      </c>
      <c r="D8" s="144">
        <v>21961321.199999999</v>
      </c>
      <c r="E8" s="145">
        <v>40</v>
      </c>
      <c r="F8" s="145">
        <v>40</v>
      </c>
    </row>
    <row r="9" spans="1:6">
      <c r="B9" s="146" t="s">
        <v>2</v>
      </c>
      <c r="C9" s="246">
        <v>8315509.1999999993</v>
      </c>
      <c r="D9" s="144">
        <v>24672648</v>
      </c>
      <c r="E9" s="145">
        <v>66</v>
      </c>
      <c r="F9" s="145">
        <v>92</v>
      </c>
    </row>
    <row r="10" spans="1:6">
      <c r="B10" s="146" t="s">
        <v>3</v>
      </c>
      <c r="C10" s="246">
        <v>9991762.3600000013</v>
      </c>
      <c r="D10" s="147">
        <v>0</v>
      </c>
      <c r="E10" s="145">
        <v>117</v>
      </c>
      <c r="F10" s="145">
        <v>133</v>
      </c>
    </row>
    <row r="11" spans="1:6">
      <c r="B11" s="148" t="s">
        <v>5</v>
      </c>
      <c r="C11" s="246">
        <v>22460642.16</v>
      </c>
      <c r="D11" s="144">
        <v>46633969.200000003</v>
      </c>
      <c r="E11" s="145">
        <v>223</v>
      </c>
      <c r="F11" s="145">
        <v>265</v>
      </c>
    </row>
    <row r="12" spans="1:6">
      <c r="B12" s="140"/>
      <c r="C12" s="140"/>
      <c r="D12" s="140"/>
      <c r="E12" s="149"/>
      <c r="F12" s="149"/>
    </row>
    <row r="14" spans="1:6">
      <c r="D14" s="26"/>
      <c r="E14" s="30"/>
    </row>
    <row r="16" spans="1:6" ht="15.75">
      <c r="A16" s="184"/>
      <c r="B16" s="184"/>
      <c r="C16" s="184"/>
      <c r="D16" s="26"/>
    </row>
  </sheetData>
  <sheetProtection algorithmName="SHA-512" hashValue="gb2TO77SlOkOloYujPd3ImUuo8uyamxMTT0fzaxR7QgLRw+H0K4y0BavA3nFGBvzlxTGDT4KDSBlyg9Pt1Rllw==" saltValue="v+I2NmXzyTCf/7J9Kto4yQ==" spinCount="100000" sheet="1" objects="1" scenarios="1"/>
  <customSheetViews>
    <customSheetView guid="{B8BA5BCE-F393-4B11-B2A4-25A7A54F3B8C}" showGridLines="0">
      <selection activeCell="D4" sqref="D4"/>
      <pageMargins left="0.511811024" right="0.511811024" top="0.78740157499999996" bottom="0.78740157499999996" header="0.31496062000000002" footer="0.31496062000000002"/>
    </customSheetView>
  </customSheetViews>
  <pageMargins left="0.511811024" right="0.511811024" top="0.78740157499999996" bottom="0.78740157499999996" header="0.31496062000000002" footer="0.31496062000000002"/>
  <pageSetup paperSize="9" scale="77" orientation="portrait" r:id="rId1"/>
  <colBreaks count="1" manualBreakCount="1">
    <brk id="7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showGridLines="0" tabSelected="1" view="pageBreakPreview" zoomScaleNormal="100" zoomScaleSheetLayoutView="100" workbookViewId="0">
      <selection activeCell="L7" sqref="L7"/>
    </sheetView>
  </sheetViews>
  <sheetFormatPr defaultColWidth="8.75" defaultRowHeight="15"/>
  <cols>
    <col min="1" max="1" width="15.625" style="93" customWidth="1"/>
    <col min="2" max="2" width="10" style="93" customWidth="1"/>
    <col min="3" max="3" width="8.75" style="93"/>
    <col min="4" max="4" width="14.375" style="93" customWidth="1"/>
    <col min="5" max="5" width="14.625" style="93" customWidth="1"/>
    <col min="6" max="6" width="6.375" style="93" customWidth="1"/>
    <col min="7" max="7" width="8" style="93" customWidth="1"/>
    <col min="8" max="8" width="9.625" style="93" customWidth="1"/>
    <col min="9" max="16384" width="8.75" style="93"/>
  </cols>
  <sheetData>
    <row r="1" spans="1:9">
      <c r="A1" s="1" t="s">
        <v>244</v>
      </c>
      <c r="B1" s="27"/>
    </row>
    <row r="2" spans="1:9">
      <c r="A2" s="423" t="s">
        <v>242</v>
      </c>
      <c r="B2" s="27"/>
    </row>
    <row r="5" spans="1:9" s="253" customFormat="1" ht="15.75">
      <c r="A5" s="252" t="s">
        <v>278</v>
      </c>
    </row>
    <row r="7" spans="1:9">
      <c r="A7" s="103" t="s">
        <v>120</v>
      </c>
    </row>
    <row r="8" spans="1:9">
      <c r="B8" s="180" t="s">
        <v>10</v>
      </c>
      <c r="C8" s="180"/>
      <c r="D8" s="180"/>
      <c r="E8" s="180"/>
      <c r="F8" s="180"/>
      <c r="G8" s="180"/>
      <c r="H8" s="180"/>
      <c r="I8" s="180"/>
    </row>
    <row r="9" spans="1:9">
      <c r="B9" s="180" t="s">
        <v>322</v>
      </c>
      <c r="C9" s="180"/>
      <c r="D9" s="180"/>
      <c r="E9" s="180"/>
      <c r="F9" s="242"/>
      <c r="G9" s="180"/>
      <c r="H9" s="180"/>
      <c r="I9" s="180"/>
    </row>
    <row r="10" spans="1:9">
      <c r="B10" s="180" t="s">
        <v>268</v>
      </c>
      <c r="C10" s="180"/>
      <c r="D10" s="180"/>
      <c r="E10" s="180"/>
      <c r="F10" s="242"/>
      <c r="G10" s="180"/>
      <c r="H10" s="180"/>
      <c r="I10" s="180"/>
    </row>
    <row r="11" spans="1:9">
      <c r="B11" s="180" t="s">
        <v>121</v>
      </c>
      <c r="C11" s="180"/>
      <c r="D11" s="180">
        <v>320</v>
      </c>
      <c r="E11" s="180"/>
      <c r="F11" s="242"/>
      <c r="G11" s="180"/>
      <c r="H11" s="180"/>
      <c r="I11" s="180"/>
    </row>
    <row r="12" spans="1:9">
      <c r="B12" s="180" t="s">
        <v>122</v>
      </c>
      <c r="C12" s="180"/>
      <c r="D12" s="232">
        <f>320/150</f>
        <v>2.1333333333333333</v>
      </c>
      <c r="E12" s="233" t="s">
        <v>11</v>
      </c>
      <c r="F12" s="242" t="s">
        <v>12</v>
      </c>
      <c r="G12" s="180"/>
      <c r="H12" s="180"/>
      <c r="I12" s="180"/>
    </row>
    <row r="13" spans="1:9">
      <c r="B13" s="180"/>
      <c r="C13" s="180"/>
      <c r="D13" s="180"/>
      <c r="E13" s="180"/>
      <c r="F13" s="242"/>
      <c r="G13" s="180"/>
      <c r="H13" s="181" t="s">
        <v>14</v>
      </c>
      <c r="I13" s="180"/>
    </row>
    <row r="14" spans="1:9">
      <c r="B14" s="180" t="s">
        <v>241</v>
      </c>
      <c r="C14" s="180"/>
      <c r="D14" s="180"/>
      <c r="E14" s="180">
        <f>16*150</f>
        <v>2400</v>
      </c>
      <c r="F14" s="242"/>
      <c r="G14" s="234">
        <v>1.05</v>
      </c>
      <c r="H14" s="180">
        <f>1.05*E14</f>
        <v>2520</v>
      </c>
      <c r="I14" s="242" t="s">
        <v>15</v>
      </c>
    </row>
    <row r="15" spans="1:9">
      <c r="B15" s="180"/>
      <c r="C15" s="180"/>
      <c r="D15" s="180"/>
      <c r="E15" s="180"/>
      <c r="F15" s="242"/>
      <c r="G15" s="180"/>
      <c r="H15" s="180"/>
      <c r="I15" s="180"/>
    </row>
    <row r="16" spans="1:9">
      <c r="B16" s="180" t="s">
        <v>123</v>
      </c>
      <c r="C16" s="180"/>
      <c r="D16" s="180"/>
      <c r="E16" s="180"/>
      <c r="F16" s="242"/>
      <c r="G16" s="180"/>
      <c r="H16" s="180"/>
      <c r="I16" s="180"/>
    </row>
    <row r="20" spans="1:5">
      <c r="A20" s="103" t="s">
        <v>124</v>
      </c>
    </row>
    <row r="21" spans="1:5" ht="30">
      <c r="A21" s="420" t="s">
        <v>108</v>
      </c>
      <c r="B21" s="421"/>
      <c r="C21" s="422"/>
      <c r="D21" s="236" t="s">
        <v>256</v>
      </c>
      <c r="E21" s="236" t="s">
        <v>257</v>
      </c>
    </row>
    <row r="22" spans="1:5">
      <c r="A22" s="419" t="s">
        <v>109</v>
      </c>
      <c r="B22" s="419"/>
      <c r="C22" s="181" t="s">
        <v>6</v>
      </c>
      <c r="D22" s="182">
        <v>47.53</v>
      </c>
      <c r="E22" s="183">
        <f>D22/0.81</f>
        <v>58.679012345679013</v>
      </c>
    </row>
    <row r="23" spans="1:5">
      <c r="A23" s="419" t="s">
        <v>110</v>
      </c>
      <c r="B23" s="419"/>
      <c r="C23" s="181" t="s">
        <v>112</v>
      </c>
      <c r="D23" s="182">
        <v>3.1379999999999999</v>
      </c>
      <c r="E23" s="183">
        <f t="shared" ref="E23:E24" si="0">D23/0.81</f>
        <v>3.8740740740740738</v>
      </c>
    </row>
    <row r="24" spans="1:5">
      <c r="A24" s="419" t="s">
        <v>111</v>
      </c>
      <c r="B24" s="419"/>
      <c r="C24" s="181" t="s">
        <v>112</v>
      </c>
      <c r="D24" s="182">
        <v>0.39752999999999999</v>
      </c>
      <c r="E24" s="183">
        <f t="shared" si="0"/>
        <v>0.49077777777777776</v>
      </c>
    </row>
    <row r="28" spans="1:5" ht="15.75">
      <c r="A28" s="184"/>
      <c r="B28" s="184"/>
      <c r="C28" s="184"/>
    </row>
  </sheetData>
  <sheetProtection algorithmName="SHA-512" hashValue="bOLY2p+PjMJyGzTs/U5abiwq9ZnvsGVs6ehXf3pfUmDq2jxvu0ZakS++gHm5sB5G5lcewChRvdXzPRqe7H0VPA==" saltValue="6eOSMtptVTXTbH4wdeDHuQ==" spinCount="100000" sheet="1" objects="1" scenarios="1"/>
  <customSheetViews>
    <customSheetView guid="{B8BA5BCE-F393-4B11-B2A4-25A7A54F3B8C}" showGridLines="0">
      <selection activeCell="F10" sqref="F10"/>
      <pageMargins left="0.511811024" right="0.511811024" top="0.78740157499999996" bottom="0.78740157499999996" header="0.31496062000000002" footer="0.31496062000000002"/>
    </customSheetView>
  </customSheetViews>
  <mergeCells count="4">
    <mergeCell ref="A22:B22"/>
    <mergeCell ref="A23:B23"/>
    <mergeCell ref="A24:B24"/>
    <mergeCell ref="A21:C21"/>
  </mergeCells>
  <pageMargins left="0.511811024" right="0.511811024" top="0.78740157499999996" bottom="0.78740157499999996" header="0.31496062000000002" footer="0.31496062000000002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"/>
  <sheetViews>
    <sheetView showGridLines="0" view="pageBreakPreview" topLeftCell="A2" zoomScale="130" zoomScaleNormal="70" zoomScaleSheetLayoutView="130" workbookViewId="0">
      <selection activeCell="B23" sqref="B23"/>
    </sheetView>
  </sheetViews>
  <sheetFormatPr defaultColWidth="9.125" defaultRowHeight="12.75"/>
  <cols>
    <col min="1" max="1" width="16.5" style="2" customWidth="1"/>
    <col min="2" max="2" width="17.375" style="2" customWidth="1"/>
    <col min="3" max="3" width="14.75" style="2" customWidth="1"/>
    <col min="4" max="4" width="17.125" style="2" customWidth="1"/>
    <col min="5" max="5" width="18.25" style="2" customWidth="1"/>
    <col min="6" max="6" width="14.25" style="2" bestFit="1" customWidth="1"/>
    <col min="7" max="7" width="11.625" style="2" bestFit="1" customWidth="1"/>
    <col min="8" max="8" width="9.125" style="2"/>
    <col min="9" max="9" width="13.625" style="2" customWidth="1"/>
    <col min="10" max="10" width="11.75" style="2" customWidth="1"/>
    <col min="11" max="11" width="9.125" style="2"/>
    <col min="12" max="12" width="12.625" style="2" customWidth="1"/>
    <col min="13" max="16384" width="9.125" style="2"/>
  </cols>
  <sheetData>
    <row r="1" spans="1:3">
      <c r="A1" s="1" t="s">
        <v>244</v>
      </c>
      <c r="B1" s="27"/>
      <c r="C1" s="27"/>
    </row>
    <row r="2" spans="1:3">
      <c r="A2" s="423" t="s">
        <v>242</v>
      </c>
      <c r="B2" s="27"/>
      <c r="C2" s="27"/>
    </row>
    <row r="5" spans="1:3" s="93" customFormat="1" ht="15">
      <c r="A5" s="339" t="s">
        <v>270</v>
      </c>
    </row>
    <row r="7" spans="1:3">
      <c r="A7" s="3" t="s">
        <v>23</v>
      </c>
    </row>
    <row r="8" spans="1:3" ht="25.5">
      <c r="A8" s="354" t="s">
        <v>180</v>
      </c>
      <c r="B8" s="322" t="s">
        <v>202</v>
      </c>
    </row>
    <row r="9" spans="1:3">
      <c r="A9" s="355"/>
      <c r="B9" s="323" t="s">
        <v>282</v>
      </c>
    </row>
    <row r="10" spans="1:3">
      <c r="A10" s="7" t="s">
        <v>2</v>
      </c>
      <c r="B10" s="259">
        <f>128800000/92</f>
        <v>1400000</v>
      </c>
      <c r="C10" s="114"/>
    </row>
    <row r="11" spans="1:3">
      <c r="A11" s="7" t="s">
        <v>3</v>
      </c>
      <c r="B11" s="113">
        <f>134596000/133</f>
        <v>1012000</v>
      </c>
      <c r="C11" s="114"/>
    </row>
    <row r="12" spans="1:3">
      <c r="A12" s="7" t="s">
        <v>113</v>
      </c>
      <c r="B12" s="113">
        <f>122770560/40</f>
        <v>3069264</v>
      </c>
      <c r="C12" s="114"/>
    </row>
    <row r="13" spans="1:3">
      <c r="A13" s="31"/>
    </row>
    <row r="14" spans="1:3">
      <c r="A14" s="115" t="s">
        <v>21</v>
      </c>
      <c r="B14" s="150" t="s">
        <v>131</v>
      </c>
    </row>
    <row r="15" spans="1:3">
      <c r="A15" s="7" t="s">
        <v>2</v>
      </c>
      <c r="B15" s="11">
        <f>VLOOKUP(A15,'Plan1-FROTA KM DEM ANO1'!$B$8:$F$10,5,FALSE)</f>
        <v>92</v>
      </c>
    </row>
    <row r="16" spans="1:3">
      <c r="A16" s="7" t="s">
        <v>3</v>
      </c>
      <c r="B16" s="11">
        <f>VLOOKUP(A16,'Plan1-FROTA KM DEM ANO1'!$B$8:$F$10,5,FALSE)</f>
        <v>133</v>
      </c>
    </row>
    <row r="17" spans="1:6">
      <c r="A17" s="7" t="s">
        <v>113</v>
      </c>
      <c r="B17" s="11">
        <f>VLOOKUP(A17,'Plan1-FROTA KM DEM ANO1'!$B$8:$F$10,5,FALSE)</f>
        <v>40</v>
      </c>
    </row>
    <row r="20" spans="1:6">
      <c r="A20" s="3" t="s">
        <v>134</v>
      </c>
    </row>
    <row r="21" spans="1:6" s="32" customFormat="1">
      <c r="A21" s="349" t="s">
        <v>1</v>
      </c>
      <c r="B21" s="257" t="s">
        <v>165</v>
      </c>
      <c r="C21" s="255" t="s">
        <v>132</v>
      </c>
      <c r="D21" s="262" t="s">
        <v>0</v>
      </c>
      <c r="E21" s="262" t="s">
        <v>7</v>
      </c>
      <c r="F21" s="262" t="s">
        <v>8</v>
      </c>
    </row>
    <row r="22" spans="1:6" s="32" customFormat="1">
      <c r="A22" s="349"/>
      <c r="B22" s="258" t="s">
        <v>283</v>
      </c>
      <c r="C22" s="256" t="s">
        <v>284</v>
      </c>
      <c r="D22" s="263" t="s">
        <v>285</v>
      </c>
      <c r="E22" s="263" t="s">
        <v>286</v>
      </c>
      <c r="F22" s="248" t="s">
        <v>176</v>
      </c>
    </row>
    <row r="23" spans="1:6">
      <c r="A23" s="7" t="s">
        <v>2</v>
      </c>
      <c r="B23" s="254">
        <v>0.42</v>
      </c>
      <c r="C23" s="259">
        <f>VLOOKUP(A23,'Plan1-FROTA KM DEM ANO1'!$B$8:$F$10,2,FALSE)</f>
        <v>8315509.1999999993</v>
      </c>
      <c r="D23" s="259">
        <f>C23*B23</f>
        <v>3492513.8639999996</v>
      </c>
      <c r="E23" s="260">
        <f>6.33/(1+19%)</f>
        <v>5.3193277310924376</v>
      </c>
      <c r="F23" s="261">
        <f>E23*D23</f>
        <v>18577825.848000001</v>
      </c>
    </row>
    <row r="24" spans="1:6">
      <c r="A24" s="7" t="s">
        <v>3</v>
      </c>
      <c r="B24" s="123">
        <v>0.37</v>
      </c>
      <c r="C24" s="113">
        <f>VLOOKUP(A24,'Plan1-FROTA KM DEM ANO1'!$B$8:$F$10,2,FALSE)</f>
        <v>9991762.3600000013</v>
      </c>
      <c r="D24" s="113">
        <f>C24*B24</f>
        <v>3696952.0732000005</v>
      </c>
      <c r="E24" s="124">
        <f>E23</f>
        <v>5.3193277310924376</v>
      </c>
      <c r="F24" s="12">
        <f>E24*D24</f>
        <v>19665299.683492441</v>
      </c>
    </row>
    <row r="25" spans="1:6">
      <c r="A25" s="31" t="s">
        <v>129</v>
      </c>
      <c r="B25" s="114"/>
      <c r="C25" s="114"/>
      <c r="D25" s="352" t="s">
        <v>134</v>
      </c>
      <c r="E25" s="353"/>
      <c r="F25" s="66">
        <f>SUM(F23:F24)</f>
        <v>38243125.531492442</v>
      </c>
    </row>
    <row r="26" spans="1:6">
      <c r="A26" s="31"/>
      <c r="B26" s="114"/>
      <c r="C26" s="114"/>
      <c r="D26" s="15"/>
      <c r="F26" s="15"/>
    </row>
    <row r="27" spans="1:6" ht="15" customHeight="1">
      <c r="A27" s="3" t="s">
        <v>204</v>
      </c>
      <c r="B27" s="114"/>
      <c r="C27" s="114"/>
      <c r="D27" s="15"/>
    </row>
    <row r="28" spans="1:6" s="32" customFormat="1">
      <c r="A28" s="349" t="s">
        <v>1</v>
      </c>
      <c r="B28" s="257" t="s">
        <v>165</v>
      </c>
      <c r="C28" s="255" t="s">
        <v>132</v>
      </c>
      <c r="D28" s="265" t="s">
        <v>0</v>
      </c>
      <c r="E28" s="262" t="s">
        <v>7</v>
      </c>
      <c r="F28" s="262" t="s">
        <v>8</v>
      </c>
    </row>
    <row r="29" spans="1:6" s="32" customFormat="1">
      <c r="A29" s="349"/>
      <c r="B29" s="267" t="s">
        <v>287</v>
      </c>
      <c r="C29" s="256" t="s">
        <v>284</v>
      </c>
      <c r="D29" s="268" t="s">
        <v>288</v>
      </c>
      <c r="E29" s="263" t="s">
        <v>289</v>
      </c>
      <c r="F29" s="248" t="s">
        <v>176</v>
      </c>
    </row>
    <row r="30" spans="1:6">
      <c r="A30" s="7" t="s">
        <v>113</v>
      </c>
      <c r="B30" s="254">
        <v>1.6</v>
      </c>
      <c r="C30" s="259">
        <f>VLOOKUP(A30,'Plan1-FROTA KM DEM ANO1'!$B$8:$F$10,2,FALSE)</f>
        <v>4153370.6</v>
      </c>
      <c r="D30" s="259">
        <f>B30*C30</f>
        <v>6645392.9600000009</v>
      </c>
      <c r="E30" s="264">
        <f>(100%*'Plan10-AuxiliarEnergiaElétrica'!E24)</f>
        <v>0.49077777777777776</v>
      </c>
      <c r="F30" s="261">
        <f>E30*D30</f>
        <v>3261411.1893688892</v>
      </c>
    </row>
    <row r="31" spans="1:6">
      <c r="A31" s="31"/>
      <c r="B31" s="116"/>
      <c r="C31" s="116"/>
      <c r="D31" s="116"/>
      <c r="E31" s="117"/>
      <c r="F31" s="15"/>
    </row>
    <row r="32" spans="1:6">
      <c r="A32" s="3" t="s">
        <v>203</v>
      </c>
      <c r="C32" s="114"/>
    </row>
    <row r="33" spans="1:6">
      <c r="A33" s="333"/>
      <c r="B33" s="150" t="s">
        <v>168</v>
      </c>
      <c r="C33" s="197" t="s">
        <v>4</v>
      </c>
      <c r="D33" s="197" t="s">
        <v>4</v>
      </c>
      <c r="E33" s="150" t="s">
        <v>135</v>
      </c>
      <c r="F33" s="151" t="s">
        <v>136</v>
      </c>
    </row>
    <row r="34" spans="1:6">
      <c r="A34" s="11" t="s">
        <v>13</v>
      </c>
      <c r="B34" s="113">
        <v>2400</v>
      </c>
      <c r="C34" s="197" t="s">
        <v>4</v>
      </c>
      <c r="D34" s="197" t="s">
        <v>4</v>
      </c>
      <c r="E34" s="123">
        <f>'Plan10-AuxiliarEnergiaElétrica'!E22</f>
        <v>58.679012345679013</v>
      </c>
      <c r="F34" s="113">
        <f>E34*12*B34</f>
        <v>1689955.5555555555</v>
      </c>
    </row>
    <row r="36" spans="1:6">
      <c r="D36" s="350" t="s">
        <v>137</v>
      </c>
      <c r="E36" s="351"/>
      <c r="F36" s="66">
        <f>F30+F34</f>
        <v>4951366.7449244447</v>
      </c>
    </row>
    <row r="38" spans="1:6">
      <c r="A38" s="3" t="s">
        <v>181</v>
      </c>
    </row>
    <row r="39" spans="1:6" s="32" customFormat="1">
      <c r="A39" s="356" t="s">
        <v>24</v>
      </c>
      <c r="B39" s="349" t="s">
        <v>165</v>
      </c>
      <c r="C39" s="257" t="s">
        <v>132</v>
      </c>
      <c r="D39" s="255" t="s">
        <v>175</v>
      </c>
      <c r="E39" s="265" t="s">
        <v>7</v>
      </c>
      <c r="F39" s="262" t="s">
        <v>8</v>
      </c>
    </row>
    <row r="40" spans="1:6" s="32" customFormat="1">
      <c r="A40" s="356"/>
      <c r="B40" s="349"/>
      <c r="C40" s="267" t="s">
        <v>284</v>
      </c>
      <c r="D40" s="256" t="s">
        <v>284</v>
      </c>
      <c r="E40" s="268" t="s">
        <v>286</v>
      </c>
      <c r="F40" s="248" t="s">
        <v>176</v>
      </c>
    </row>
    <row r="41" spans="1:6">
      <c r="A41" s="7" t="s">
        <v>2</v>
      </c>
      <c r="B41" s="118">
        <f>5%*B23</f>
        <v>2.1000000000000001E-2</v>
      </c>
      <c r="C41" s="259">
        <f>C23</f>
        <v>8315509.1999999993</v>
      </c>
      <c r="D41" s="259">
        <f>C41*B41</f>
        <v>174625.69320000001</v>
      </c>
      <c r="E41" s="254">
        <v>6</v>
      </c>
      <c r="F41" s="259">
        <f>E41*D41</f>
        <v>1047754.1592000001</v>
      </c>
    </row>
    <row r="42" spans="1:6">
      <c r="A42" s="7" t="s">
        <v>3</v>
      </c>
      <c r="B42" s="118">
        <f>5%*B24</f>
        <v>1.8499999999999999E-2</v>
      </c>
      <c r="C42" s="113">
        <f>C24</f>
        <v>9991762.3600000013</v>
      </c>
      <c r="D42" s="113">
        <f>C42*B42</f>
        <v>184847.60366000002</v>
      </c>
      <c r="E42" s="123">
        <v>6</v>
      </c>
      <c r="F42" s="113">
        <f>E42*D42</f>
        <v>1109085.6219600001</v>
      </c>
    </row>
    <row r="43" spans="1:6">
      <c r="D43" s="16"/>
      <c r="E43" s="3"/>
    </row>
    <row r="44" spans="1:6">
      <c r="D44" s="350" t="s">
        <v>169</v>
      </c>
      <c r="E44" s="351"/>
      <c r="F44" s="66">
        <f>SUM(F41:F42)</f>
        <v>2156839.7811600002</v>
      </c>
    </row>
    <row r="46" spans="1:6">
      <c r="A46" s="3" t="s">
        <v>138</v>
      </c>
    </row>
    <row r="47" spans="1:6">
      <c r="A47" s="349" t="s">
        <v>1</v>
      </c>
      <c r="B47" s="257" t="s">
        <v>165</v>
      </c>
      <c r="C47" s="255" t="s">
        <v>132</v>
      </c>
      <c r="D47" s="265" t="s">
        <v>4</v>
      </c>
      <c r="E47" s="262" t="s">
        <v>7</v>
      </c>
      <c r="F47" s="262" t="s">
        <v>8</v>
      </c>
    </row>
    <row r="48" spans="1:6">
      <c r="A48" s="349"/>
      <c r="B48" s="267" t="s">
        <v>283</v>
      </c>
      <c r="C48" s="256" t="s">
        <v>284</v>
      </c>
      <c r="D48" s="268" t="s">
        <v>4</v>
      </c>
      <c r="E48" s="263" t="s">
        <v>290</v>
      </c>
      <c r="F48" s="248" t="s">
        <v>176</v>
      </c>
    </row>
    <row r="49" spans="1:7">
      <c r="A49" s="7" t="s">
        <v>2</v>
      </c>
      <c r="B49" s="271">
        <v>2.6499999999999999E-2</v>
      </c>
      <c r="C49" s="261">
        <f>C23</f>
        <v>8315509.1999999993</v>
      </c>
      <c r="D49" s="272" t="s">
        <v>4</v>
      </c>
      <c r="E49" s="273">
        <f>B49*E23</f>
        <v>0.1409621848739496</v>
      </c>
      <c r="F49" s="259">
        <f>C49*E49</f>
        <v>1172172.3451714285</v>
      </c>
    </row>
    <row r="50" spans="1:7">
      <c r="A50" s="7" t="s">
        <v>3</v>
      </c>
      <c r="B50" s="125">
        <v>2.6499999999999999E-2</v>
      </c>
      <c r="C50" s="12">
        <f>C24</f>
        <v>9991762.3600000013</v>
      </c>
      <c r="D50" s="23" t="s">
        <v>4</v>
      </c>
      <c r="E50" s="119">
        <f>B50*E24</f>
        <v>0.1409621848739496</v>
      </c>
      <c r="F50" s="113">
        <f>C50*E50</f>
        <v>1408460.653006891</v>
      </c>
    </row>
    <row r="51" spans="1:7">
      <c r="A51" s="2" t="s">
        <v>16</v>
      </c>
    </row>
    <row r="52" spans="1:7">
      <c r="A52" s="349" t="s">
        <v>1</v>
      </c>
      <c r="B52" s="326"/>
      <c r="C52" s="255" t="s">
        <v>132</v>
      </c>
      <c r="D52" s="265" t="s">
        <v>4</v>
      </c>
      <c r="E52" s="262" t="s">
        <v>7</v>
      </c>
      <c r="F52" s="266" t="s">
        <v>8</v>
      </c>
    </row>
    <row r="53" spans="1:7">
      <c r="A53" s="349"/>
      <c r="B53" s="327"/>
      <c r="C53" s="256" t="s">
        <v>284</v>
      </c>
      <c r="D53" s="268" t="s">
        <v>4</v>
      </c>
      <c r="E53" s="263" t="s">
        <v>290</v>
      </c>
      <c r="F53" s="269" t="s">
        <v>176</v>
      </c>
    </row>
    <row r="54" spans="1:7">
      <c r="A54" s="7" t="s">
        <v>113</v>
      </c>
      <c r="B54" s="274"/>
      <c r="C54" s="261">
        <f>C30</f>
        <v>4153370.6</v>
      </c>
      <c r="D54" s="263" t="s">
        <v>4</v>
      </c>
      <c r="E54" s="275">
        <v>4.0599999999999997E-2</v>
      </c>
      <c r="F54" s="325">
        <f>C54*E54</f>
        <v>168626.84636</v>
      </c>
    </row>
    <row r="56" spans="1:7">
      <c r="D56" s="350" t="s">
        <v>138</v>
      </c>
      <c r="E56" s="351"/>
      <c r="F56" s="66">
        <f>F49+F50+F54</f>
        <v>2749259.8445383194</v>
      </c>
    </row>
    <row r="57" spans="1:7">
      <c r="D57" s="17"/>
      <c r="E57" s="17"/>
      <c r="F57" s="16"/>
    </row>
    <row r="58" spans="1:7">
      <c r="A58" s="3" t="s">
        <v>170</v>
      </c>
    </row>
    <row r="59" spans="1:7">
      <c r="A59" s="2" t="s">
        <v>17</v>
      </c>
    </row>
    <row r="60" spans="1:7">
      <c r="A60" s="349" t="s">
        <v>1</v>
      </c>
      <c r="B60" s="270" t="s">
        <v>166</v>
      </c>
      <c r="C60" s="255" t="s">
        <v>132</v>
      </c>
      <c r="D60" s="265" t="s">
        <v>0</v>
      </c>
      <c r="E60" s="262" t="s">
        <v>7</v>
      </c>
      <c r="F60" s="262" t="s">
        <v>8</v>
      </c>
    </row>
    <row r="61" spans="1:7">
      <c r="A61" s="349"/>
      <c r="B61" s="267" t="s">
        <v>291</v>
      </c>
      <c r="C61" s="256" t="s">
        <v>284</v>
      </c>
      <c r="D61" s="268" t="s">
        <v>292</v>
      </c>
      <c r="E61" s="263" t="s">
        <v>293</v>
      </c>
      <c r="F61" s="248" t="s">
        <v>176</v>
      </c>
    </row>
    <row r="62" spans="1:7">
      <c r="A62" s="7" t="s">
        <v>2</v>
      </c>
      <c r="B62" s="254">
        <v>105000</v>
      </c>
      <c r="C62" s="261">
        <f>C23</f>
        <v>8315509.1999999993</v>
      </c>
      <c r="D62" s="259">
        <f>6*C62/B62</f>
        <v>475.17195428571426</v>
      </c>
      <c r="E62" s="254">
        <v>2879</v>
      </c>
      <c r="F62" s="261">
        <f>E62*D62</f>
        <v>1368020.0563885714</v>
      </c>
      <c r="G62" s="120"/>
    </row>
    <row r="63" spans="1:7">
      <c r="A63" s="7" t="s">
        <v>3</v>
      </c>
      <c r="B63" s="123">
        <v>81000</v>
      </c>
      <c r="C63" s="12">
        <f>C24</f>
        <v>9991762.3600000013</v>
      </c>
      <c r="D63" s="113">
        <f>6*C63/B63</f>
        <v>740.13054518518527</v>
      </c>
      <c r="E63" s="123">
        <v>2769</v>
      </c>
      <c r="F63" s="12">
        <f>E63*D63</f>
        <v>2049421.479617778</v>
      </c>
      <c r="G63" s="120"/>
    </row>
    <row r="64" spans="1:7">
      <c r="A64" s="7" t="s">
        <v>113</v>
      </c>
      <c r="B64" s="123">
        <v>105000</v>
      </c>
      <c r="C64" s="12">
        <f>C30</f>
        <v>4153370.6</v>
      </c>
      <c r="D64" s="113">
        <f>6*C64/B64</f>
        <v>237.33546285714286</v>
      </c>
      <c r="E64" s="123">
        <v>2879</v>
      </c>
      <c r="F64" s="12">
        <f>E64*D64</f>
        <v>683288.79756571434</v>
      </c>
      <c r="G64" s="120"/>
    </row>
    <row r="65" spans="1:12">
      <c r="A65" s="31"/>
      <c r="B65" s="114"/>
      <c r="C65" s="15"/>
      <c r="D65" s="114"/>
      <c r="E65" s="114"/>
      <c r="F65" s="15">
        <f>SUM(F62:F64)</f>
        <v>4100730.3335720636</v>
      </c>
      <c r="G65" s="120"/>
    </row>
    <row r="66" spans="1:12">
      <c r="A66" s="2" t="s">
        <v>18</v>
      </c>
    </row>
    <row r="67" spans="1:12">
      <c r="A67" s="349" t="s">
        <v>1</v>
      </c>
      <c r="B67" s="270" t="s">
        <v>167</v>
      </c>
      <c r="C67" s="262" t="s">
        <v>4</v>
      </c>
      <c r="D67" s="265" t="s">
        <v>0</v>
      </c>
      <c r="E67" s="262" t="s">
        <v>7</v>
      </c>
      <c r="F67" s="262" t="s">
        <v>8</v>
      </c>
    </row>
    <row r="68" spans="1:12">
      <c r="A68" s="349"/>
      <c r="B68" s="267" t="s">
        <v>294</v>
      </c>
      <c r="C68" s="263" t="s">
        <v>4</v>
      </c>
      <c r="D68" s="268" t="s">
        <v>292</v>
      </c>
      <c r="E68" s="263" t="s">
        <v>295</v>
      </c>
      <c r="F68" s="248" t="s">
        <v>176</v>
      </c>
    </row>
    <row r="69" spans="1:12">
      <c r="A69" s="7" t="s">
        <v>2</v>
      </c>
      <c r="B69" s="274">
        <v>3</v>
      </c>
      <c r="C69" s="263" t="s">
        <v>4</v>
      </c>
      <c r="D69" s="261">
        <f>D62</f>
        <v>475.17195428571426</v>
      </c>
      <c r="E69" s="275">
        <v>678.33</v>
      </c>
      <c r="F69" s="261">
        <f>B69*D69*E69</f>
        <v>966970.17525188578</v>
      </c>
    </row>
    <row r="70" spans="1:12">
      <c r="A70" s="7" t="s">
        <v>3</v>
      </c>
      <c r="B70" s="11">
        <v>3</v>
      </c>
      <c r="C70" s="10" t="s">
        <v>4</v>
      </c>
      <c r="D70" s="12">
        <f>D63</f>
        <v>740.13054518518527</v>
      </c>
      <c r="E70" s="126">
        <v>520</v>
      </c>
      <c r="F70" s="12">
        <f>B70*D70*E70</f>
        <v>1154603.6504888888</v>
      </c>
    </row>
    <row r="71" spans="1:12">
      <c r="A71" s="7" t="s">
        <v>113</v>
      </c>
      <c r="B71" s="11">
        <v>3</v>
      </c>
      <c r="C71" s="10" t="s">
        <v>4</v>
      </c>
      <c r="D71" s="12">
        <f>D64</f>
        <v>237.33546285714286</v>
      </c>
      <c r="E71" s="126">
        <v>678.33</v>
      </c>
      <c r="F71" s="12">
        <f>B71*D71*E71</f>
        <v>482975.29355965718</v>
      </c>
    </row>
    <row r="72" spans="1:12">
      <c r="F72" s="15">
        <f>SUM(F69:F71)</f>
        <v>2604549.1193004316</v>
      </c>
    </row>
    <row r="74" spans="1:12">
      <c r="D74" s="350" t="s">
        <v>170</v>
      </c>
      <c r="E74" s="351"/>
      <c r="F74" s="66">
        <f>F65+F72</f>
        <v>6705279.4528724952</v>
      </c>
    </row>
    <row r="76" spans="1:12">
      <c r="A76" s="3" t="s">
        <v>139</v>
      </c>
    </row>
    <row r="77" spans="1:12" ht="25.5">
      <c r="A77" s="357" t="s">
        <v>1</v>
      </c>
      <c r="B77" s="359" t="s">
        <v>165</v>
      </c>
      <c r="C77" s="29" t="s">
        <v>296</v>
      </c>
      <c r="D77" s="4" t="s">
        <v>4</v>
      </c>
      <c r="E77" s="141" t="s">
        <v>297</v>
      </c>
      <c r="F77" s="4" t="s">
        <v>136</v>
      </c>
    </row>
    <row r="78" spans="1:12" ht="24" hidden="1" customHeight="1">
      <c r="A78" s="357"/>
      <c r="B78" s="360"/>
      <c r="C78" s="4" t="s">
        <v>133</v>
      </c>
      <c r="D78" s="4"/>
      <c r="E78" s="141" t="s">
        <v>9</v>
      </c>
      <c r="F78" s="4" t="s">
        <v>25</v>
      </c>
    </row>
    <row r="79" spans="1:12">
      <c r="A79" s="7" t="s">
        <v>2</v>
      </c>
      <c r="B79" s="126">
        <v>6.7000000000000004E-2</v>
      </c>
      <c r="C79" s="12">
        <f>C23</f>
        <v>8315509.1999999993</v>
      </c>
      <c r="D79" s="198" t="s">
        <v>4</v>
      </c>
      <c r="E79" s="12">
        <f>B10-(6*E62)</f>
        <v>1382726</v>
      </c>
      <c r="F79" s="12">
        <f>E79*B79*B15</f>
        <v>8523123.0640000012</v>
      </c>
    </row>
    <row r="80" spans="1:12">
      <c r="A80" s="7" t="s">
        <v>3</v>
      </c>
      <c r="B80" s="126">
        <v>6.7000000000000004E-2</v>
      </c>
      <c r="C80" s="12">
        <f>C24</f>
        <v>9991762.3600000013</v>
      </c>
      <c r="D80" s="198" t="s">
        <v>4</v>
      </c>
      <c r="E80" s="12">
        <f>B11-(6*E63)</f>
        <v>995386</v>
      </c>
      <c r="F80" s="12">
        <f>E80*B80*B16</f>
        <v>8869884.6460000016</v>
      </c>
      <c r="G80" s="121"/>
      <c r="I80" s="187"/>
      <c r="J80" s="188"/>
      <c r="K80" s="189"/>
      <c r="L80" s="188"/>
    </row>
    <row r="81" spans="1:12">
      <c r="A81" s="7" t="s">
        <v>113</v>
      </c>
      <c r="B81" s="127">
        <v>1.8894439686727351E-2</v>
      </c>
      <c r="C81" s="12">
        <f>C30</f>
        <v>4153370.6</v>
      </c>
      <c r="D81" s="198" t="s">
        <v>4</v>
      </c>
      <c r="E81" s="12">
        <f>B12-(6*E64)</f>
        <v>3051990</v>
      </c>
      <c r="F81" s="12">
        <f>E81*B81*B17</f>
        <v>2306625.6391798002</v>
      </c>
      <c r="G81" s="121"/>
      <c r="H81" s="122"/>
      <c r="I81" s="187"/>
      <c r="J81" s="188"/>
      <c r="K81" s="189"/>
      <c r="L81" s="188"/>
    </row>
    <row r="82" spans="1:12">
      <c r="I82" s="187"/>
      <c r="J82" s="188"/>
      <c r="K82" s="189"/>
      <c r="L82" s="188"/>
    </row>
    <row r="83" spans="1:12">
      <c r="D83" s="350" t="s">
        <v>139</v>
      </c>
      <c r="E83" s="351"/>
      <c r="F83" s="203">
        <f>SUM(F79:F81)</f>
        <v>19699633.349179801</v>
      </c>
    </row>
    <row r="84" spans="1:12">
      <c r="I84" s="191"/>
      <c r="L84" s="190"/>
    </row>
    <row r="85" spans="1:12">
      <c r="A85" s="152" t="s">
        <v>140</v>
      </c>
      <c r="I85" s="191"/>
    </row>
    <row r="86" spans="1:12">
      <c r="A86" s="349" t="s">
        <v>1</v>
      </c>
      <c r="B86" s="270" t="s">
        <v>4</v>
      </c>
      <c r="C86" s="262" t="s">
        <v>4</v>
      </c>
      <c r="D86" s="265" t="s">
        <v>4</v>
      </c>
      <c r="E86" s="262" t="s">
        <v>4</v>
      </c>
      <c r="F86" s="266" t="s">
        <v>8</v>
      </c>
      <c r="I86" s="191"/>
    </row>
    <row r="87" spans="1:12">
      <c r="A87" s="349"/>
      <c r="B87" s="267" t="s">
        <v>4</v>
      </c>
      <c r="C87" s="263" t="s">
        <v>4</v>
      </c>
      <c r="D87" s="268" t="s">
        <v>4</v>
      </c>
      <c r="E87" s="263" t="s">
        <v>4</v>
      </c>
      <c r="F87" s="269" t="s">
        <v>176</v>
      </c>
      <c r="I87" s="191"/>
    </row>
    <row r="88" spans="1:12">
      <c r="A88" s="7" t="s">
        <v>2</v>
      </c>
      <c r="B88" s="263" t="s">
        <v>4</v>
      </c>
      <c r="C88" s="263" t="s">
        <v>4</v>
      </c>
      <c r="D88" s="263" t="s">
        <v>4</v>
      </c>
      <c r="E88" s="263" t="s">
        <v>4</v>
      </c>
      <c r="F88" s="261">
        <f>F23+F41+F49+F62+F69+F79</f>
        <v>31655865.648011893</v>
      </c>
      <c r="I88" s="191"/>
    </row>
    <row r="89" spans="1:12">
      <c r="A89" s="7" t="s">
        <v>3</v>
      </c>
      <c r="B89" s="10" t="s">
        <v>4</v>
      </c>
      <c r="C89" s="10" t="s">
        <v>4</v>
      </c>
      <c r="D89" s="10" t="s">
        <v>4</v>
      </c>
      <c r="E89" s="10" t="s">
        <v>4</v>
      </c>
      <c r="F89" s="12">
        <f>F24+F42+F50+F63+F70+F80</f>
        <v>34256755.734566003</v>
      </c>
      <c r="I89" s="191"/>
    </row>
    <row r="90" spans="1:12">
      <c r="A90" s="7" t="s">
        <v>113</v>
      </c>
      <c r="B90" s="10" t="s">
        <v>4</v>
      </c>
      <c r="C90" s="10" t="s">
        <v>4</v>
      </c>
      <c r="D90" s="10" t="s">
        <v>4</v>
      </c>
      <c r="E90" s="10" t="s">
        <v>4</v>
      </c>
      <c r="F90" s="12">
        <f>F30+F34+F54+F64+F71+F81</f>
        <v>8592883.3215896171</v>
      </c>
      <c r="I90" s="192"/>
    </row>
    <row r="92" spans="1:12">
      <c r="D92" s="350" t="s">
        <v>78</v>
      </c>
      <c r="E92" s="358"/>
      <c r="F92" s="66">
        <f>SUM(F88:F90)</f>
        <v>74505504.704167515</v>
      </c>
      <c r="I92" s="190"/>
    </row>
    <row r="96" spans="1:12" ht="15.75">
      <c r="A96" s="185"/>
    </row>
  </sheetData>
  <sheetProtection algorithmName="SHA-512" hashValue="j1li3X8VQu9PdZJn4rVwJSo7OELl7kqgaiEU5rRIiXtdRmueW+cREuDD5dbGpFDu4asnvlYUMuE5NTeALr7NWw==" saltValue="zCzv7+ZvRCfMSVFmlGdk2w==" spinCount="100000" sheet="1" objects="1" scenarios="1" selectLockedCells="1"/>
  <customSheetViews>
    <customSheetView guid="{B8BA5BCE-F393-4B11-B2A4-25A7A54F3B8C}" showGridLines="0">
      <selection activeCell="K33" sqref="K33"/>
      <pageMargins left="0.511811024" right="0.511811024" top="0.78740157499999996" bottom="0.78740157499999996" header="0.31496062000000002" footer="0.31496062000000002"/>
      <pageSetup paperSize="9" orientation="portrait" horizontalDpi="4294967294" verticalDpi="4294967294" r:id="rId1"/>
    </customSheetView>
  </customSheetViews>
  <mergeCells count="19">
    <mergeCell ref="A77:A78"/>
    <mergeCell ref="D92:E92"/>
    <mergeCell ref="D83:E83"/>
    <mergeCell ref="B77:B78"/>
    <mergeCell ref="A86:A87"/>
    <mergeCell ref="D25:E25"/>
    <mergeCell ref="A8:A9"/>
    <mergeCell ref="A21:A22"/>
    <mergeCell ref="A28:A29"/>
    <mergeCell ref="A39:A40"/>
    <mergeCell ref="B39:B40"/>
    <mergeCell ref="A52:A53"/>
    <mergeCell ref="D36:E36"/>
    <mergeCell ref="D44:E44"/>
    <mergeCell ref="D56:E56"/>
    <mergeCell ref="D74:E74"/>
    <mergeCell ref="A47:A48"/>
    <mergeCell ref="A60:A61"/>
    <mergeCell ref="A67:A68"/>
  </mergeCells>
  <pageMargins left="0.511811024" right="0.511811024" top="0.78740157499999996" bottom="0.78740157499999996" header="0.31496062000000002" footer="0.31496062000000002"/>
  <pageSetup paperSize="9" scale="84" orientation="portrait" verticalDpi="4294967294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7"/>
  <sheetViews>
    <sheetView showGridLines="0" view="pageBreakPreview" topLeftCell="A55" zoomScale="145" zoomScaleNormal="90" zoomScaleSheetLayoutView="145" workbookViewId="0">
      <selection activeCell="B81" sqref="B81"/>
    </sheetView>
  </sheetViews>
  <sheetFormatPr defaultColWidth="9.125" defaultRowHeight="12.75"/>
  <cols>
    <col min="1" max="1" width="26.625" style="2" customWidth="1"/>
    <col min="2" max="2" width="22.375" style="2" customWidth="1"/>
    <col min="3" max="3" width="20.375" style="2" customWidth="1"/>
    <col min="4" max="4" width="22.375" style="2" bestFit="1" customWidth="1"/>
    <col min="5" max="5" width="22.125" style="2" bestFit="1" customWidth="1"/>
    <col min="6" max="6" width="11.875" style="2" customWidth="1"/>
    <col min="7" max="7" width="12.375" style="2" bestFit="1" customWidth="1"/>
    <col min="8" max="16384" width="9.125" style="2"/>
  </cols>
  <sheetData>
    <row r="1" spans="1:3">
      <c r="A1" s="1" t="s">
        <v>244</v>
      </c>
      <c r="B1" s="27"/>
      <c r="C1" s="27"/>
    </row>
    <row r="2" spans="1:3">
      <c r="A2" s="423" t="s">
        <v>242</v>
      </c>
      <c r="B2" s="27"/>
      <c r="C2" s="27"/>
    </row>
    <row r="5" spans="1:3" s="93" customFormat="1" ht="15">
      <c r="A5" s="334" t="s">
        <v>271</v>
      </c>
    </row>
    <row r="7" spans="1:3">
      <c r="A7" s="3" t="s">
        <v>23</v>
      </c>
    </row>
    <row r="8" spans="1:3">
      <c r="A8" s="364" t="s">
        <v>20</v>
      </c>
      <c r="B8" s="247" t="s">
        <v>19</v>
      </c>
    </row>
    <row r="9" spans="1:3">
      <c r="A9" s="365"/>
      <c r="B9" s="248" t="s">
        <v>282</v>
      </c>
    </row>
    <row r="10" spans="1:3">
      <c r="A10" s="5" t="s">
        <v>2</v>
      </c>
      <c r="B10" s="277">
        <f>'Plan2-CustosVariáveis'!B10</f>
        <v>1400000</v>
      </c>
    </row>
    <row r="11" spans="1:3">
      <c r="A11" s="5" t="s">
        <v>3</v>
      </c>
      <c r="B11" s="6">
        <f>'Plan2-CustosVariáveis'!B11</f>
        <v>1012000</v>
      </c>
    </row>
    <row r="12" spans="1:3">
      <c r="A12" s="7" t="s">
        <v>113</v>
      </c>
      <c r="B12" s="6">
        <f>'Plan2-CustosVariáveis'!B12</f>
        <v>3069264</v>
      </c>
    </row>
    <row r="13" spans="1:3">
      <c r="A13" s="8"/>
    </row>
    <row r="14" spans="1:3">
      <c r="A14" s="9" t="s">
        <v>21</v>
      </c>
      <c r="B14" s="150" t="s">
        <v>131</v>
      </c>
    </row>
    <row r="15" spans="1:3">
      <c r="A15" s="5" t="s">
        <v>2</v>
      </c>
      <c r="B15" s="11">
        <f>VLOOKUP(A15,'Plan1-FROTA KM DEM ANO1'!$B$8:$F$10,5,FALSE)</f>
        <v>92</v>
      </c>
    </row>
    <row r="16" spans="1:3">
      <c r="A16" s="5" t="s">
        <v>3</v>
      </c>
      <c r="B16" s="11">
        <f>VLOOKUP(A16,'Plan1-FROTA KM DEM ANO1'!$B$8:$F$10,5,FALSE)</f>
        <v>133</v>
      </c>
    </row>
    <row r="17" spans="1:5">
      <c r="A17" s="7" t="s">
        <v>113</v>
      </c>
      <c r="B17" s="11">
        <f>VLOOKUP(A17,'Plan1-FROTA KM DEM ANO1'!$B$8:$F$10,5,FALSE)</f>
        <v>40</v>
      </c>
    </row>
    <row r="19" spans="1:5">
      <c r="A19" s="3" t="s">
        <v>141</v>
      </c>
    </row>
    <row r="20" spans="1:5">
      <c r="A20" s="347" t="s">
        <v>1</v>
      </c>
      <c r="B20" s="372" t="s">
        <v>249</v>
      </c>
      <c r="C20" s="372" t="s">
        <v>298</v>
      </c>
      <c r="D20" s="349" t="s">
        <v>131</v>
      </c>
      <c r="E20" s="262" t="s">
        <v>8</v>
      </c>
    </row>
    <row r="21" spans="1:5">
      <c r="A21" s="156"/>
      <c r="B21" s="372"/>
      <c r="C21" s="372"/>
      <c r="D21" s="349"/>
      <c r="E21" s="248" t="s">
        <v>176</v>
      </c>
    </row>
    <row r="22" spans="1:5">
      <c r="A22" s="7" t="s">
        <v>2</v>
      </c>
      <c r="B22" s="128">
        <f>3%*12%</f>
        <v>3.5999999999999999E-3</v>
      </c>
      <c r="C22" s="12">
        <f>B10</f>
        <v>1400000</v>
      </c>
      <c r="D22" s="11">
        <f>B15</f>
        <v>92</v>
      </c>
      <c r="E22" s="261">
        <f>B22*C22*D22</f>
        <v>463680</v>
      </c>
    </row>
    <row r="23" spans="1:5">
      <c r="A23" s="7" t="s">
        <v>3</v>
      </c>
      <c r="B23" s="128">
        <f t="shared" ref="B23" si="0">3%*12%</f>
        <v>3.5999999999999999E-3</v>
      </c>
      <c r="C23" s="12">
        <f>B11</f>
        <v>1012000</v>
      </c>
      <c r="D23" s="11">
        <f t="shared" ref="D23:D24" si="1">B16</f>
        <v>133</v>
      </c>
      <c r="E23" s="12">
        <f t="shared" ref="E23:E24" si="2">B23*C23*D23</f>
        <v>484545.6</v>
      </c>
    </row>
    <row r="24" spans="1:5">
      <c r="A24" s="7" t="s">
        <v>113</v>
      </c>
      <c r="B24" s="128">
        <f>1%*12%</f>
        <v>1.1999999999999999E-3</v>
      </c>
      <c r="C24" s="12">
        <f>B12</f>
        <v>3069264</v>
      </c>
      <c r="D24" s="11">
        <f t="shared" si="1"/>
        <v>40</v>
      </c>
      <c r="E24" s="12">
        <f t="shared" si="2"/>
        <v>147324.67199999999</v>
      </c>
    </row>
    <row r="25" spans="1:5">
      <c r="A25" s="13" t="s">
        <v>26</v>
      </c>
      <c r="B25" s="14"/>
      <c r="C25" s="15"/>
      <c r="E25" s="15"/>
    </row>
    <row r="26" spans="1:5" ht="13.9" customHeight="1">
      <c r="C26" s="352" t="s">
        <v>216</v>
      </c>
      <c r="D26" s="373"/>
      <c r="E26" s="66">
        <f>SUM(E22:E24)</f>
        <v>1095550.2719999999</v>
      </c>
    </row>
    <row r="29" spans="1:5">
      <c r="A29" s="152" t="s">
        <v>171</v>
      </c>
      <c r="B29" s="153"/>
      <c r="C29" s="153"/>
      <c r="D29" s="153"/>
    </row>
    <row r="30" spans="1:5">
      <c r="A30" s="357" t="s">
        <v>1</v>
      </c>
      <c r="B30" s="372" t="s">
        <v>250</v>
      </c>
      <c r="C30" s="372" t="s">
        <v>299</v>
      </c>
      <c r="D30" s="349" t="s">
        <v>131</v>
      </c>
      <c r="E30" s="262" t="s">
        <v>8</v>
      </c>
    </row>
    <row r="31" spans="1:5">
      <c r="A31" s="357"/>
      <c r="B31" s="372"/>
      <c r="C31" s="372"/>
      <c r="D31" s="349"/>
      <c r="E31" s="248" t="s">
        <v>176</v>
      </c>
    </row>
    <row r="32" spans="1:5">
      <c r="A32" s="7" t="s">
        <v>2</v>
      </c>
      <c r="B32" s="128">
        <f>4%*12%</f>
        <v>4.7999999999999996E-3</v>
      </c>
      <c r="C32" s="12">
        <f>B10</f>
        <v>1400000</v>
      </c>
      <c r="D32" s="11">
        <f>B15</f>
        <v>92</v>
      </c>
      <c r="E32" s="261">
        <f>B32*C32*D32</f>
        <v>618239.99999999988</v>
      </c>
    </row>
    <row r="33" spans="1:6">
      <c r="A33" s="7" t="s">
        <v>3</v>
      </c>
      <c r="B33" s="128">
        <f>4%*12%</f>
        <v>4.7999999999999996E-3</v>
      </c>
      <c r="C33" s="12">
        <f>B11</f>
        <v>1012000</v>
      </c>
      <c r="D33" s="11">
        <f>B16</f>
        <v>133</v>
      </c>
      <c r="E33" s="12">
        <f t="shared" ref="E33:E34" si="3">B33*C33*D33</f>
        <v>646060.79999999993</v>
      </c>
    </row>
    <row r="34" spans="1:6">
      <c r="A34" s="7" t="s">
        <v>113</v>
      </c>
      <c r="B34" s="129">
        <f>4%*12%</f>
        <v>4.7999999999999996E-3</v>
      </c>
      <c r="C34" s="12">
        <f>B12</f>
        <v>3069264</v>
      </c>
      <c r="D34" s="11">
        <f>B17</f>
        <v>40</v>
      </c>
      <c r="E34" s="12">
        <f t="shared" si="3"/>
        <v>589298.68799999997</v>
      </c>
    </row>
    <row r="35" spans="1:6">
      <c r="A35" s="13" t="s">
        <v>316</v>
      </c>
    </row>
    <row r="36" spans="1:6" ht="13.9" customHeight="1">
      <c r="B36" s="352" t="s">
        <v>215</v>
      </c>
      <c r="C36" s="353"/>
      <c r="D36" s="373"/>
      <c r="E36" s="66">
        <f>SUM(E32:E34)</f>
        <v>1853599.4879999999</v>
      </c>
    </row>
    <row r="37" spans="1:6">
      <c r="C37" s="17"/>
      <c r="D37" s="17"/>
      <c r="E37" s="16"/>
    </row>
    <row r="39" spans="1:6">
      <c r="A39" s="3" t="s">
        <v>212</v>
      </c>
    </row>
    <row r="40" spans="1:6">
      <c r="A40" s="361" t="s">
        <v>67</v>
      </c>
      <c r="B40" s="364" t="s">
        <v>41</v>
      </c>
      <c r="C40" s="262" t="s">
        <v>28</v>
      </c>
      <c r="D40" s="265" t="s">
        <v>74</v>
      </c>
      <c r="E40" s="262" t="s">
        <v>205</v>
      </c>
    </row>
    <row r="41" spans="1:6">
      <c r="A41" s="361"/>
      <c r="B41" s="365"/>
      <c r="C41" s="263" t="s">
        <v>300</v>
      </c>
      <c r="D41" s="268" t="s">
        <v>300</v>
      </c>
      <c r="E41" s="248" t="s">
        <v>300</v>
      </c>
    </row>
    <row r="42" spans="1:6">
      <c r="A42" s="18" t="s">
        <v>64</v>
      </c>
      <c r="B42" s="278">
        <f>'Plan9-AuxiliarEncargos'!$B$36</f>
        <v>0.64224320000000001</v>
      </c>
      <c r="C42" s="279">
        <f>2399.93*1.075</f>
        <v>2579.9247499999997</v>
      </c>
      <c r="D42" s="261">
        <f>'Plan9-AuxiliarEncargos'!F20</f>
        <v>938.51937375593332</v>
      </c>
      <c r="E42" s="261">
        <f>(1+B42)*C42+D42</f>
        <v>5175.3832509551321</v>
      </c>
      <c r="F42" s="15"/>
    </row>
    <row r="43" spans="1:6">
      <c r="A43" s="18" t="s">
        <v>65</v>
      </c>
      <c r="B43" s="19">
        <f>B42</f>
        <v>0.64224320000000001</v>
      </c>
      <c r="C43" s="130">
        <f>1559.64*1.075</f>
        <v>1676.6130000000001</v>
      </c>
      <c r="D43" s="12">
        <f>D42</f>
        <v>938.51937375593332</v>
      </c>
      <c r="E43" s="12">
        <f t="shared" ref="E43:E44" si="4">(1+B43)*C43+D43</f>
        <v>3691.9256720375333</v>
      </c>
    </row>
    <row r="44" spans="1:6">
      <c r="A44" s="18" t="s">
        <v>66</v>
      </c>
      <c r="B44" s="19">
        <f t="shared" ref="B44" si="5">B43</f>
        <v>0.64224320000000001</v>
      </c>
      <c r="C44" s="130">
        <f>1559.64*1.075</f>
        <v>1676.6130000000001</v>
      </c>
      <c r="D44" s="12">
        <f t="shared" ref="D44" si="6">D43</f>
        <v>938.51937375593332</v>
      </c>
      <c r="E44" s="12">
        <f t="shared" si="4"/>
        <v>3691.9256720375333</v>
      </c>
    </row>
    <row r="45" spans="1:6">
      <c r="A45" s="20"/>
      <c r="B45" s="109"/>
      <c r="C45" s="15"/>
      <c r="D45" s="15"/>
      <c r="E45" s="15"/>
    </row>
    <row r="46" spans="1:6">
      <c r="A46" s="205" t="s">
        <v>206</v>
      </c>
      <c r="B46" s="331"/>
      <c r="C46" s="331"/>
      <c r="D46" s="332">
        <f>E43*12*(D56+D57+D58)</f>
        <v>4164492.1580583374</v>
      </c>
      <c r="E46" s="333"/>
    </row>
    <row r="47" spans="1:6">
      <c r="A47" s="361" t="s">
        <v>1</v>
      </c>
      <c r="B47" s="270" t="s">
        <v>207</v>
      </c>
      <c r="C47" s="262" t="s">
        <v>209</v>
      </c>
      <c r="D47" s="362" t="s">
        <v>27</v>
      </c>
      <c r="E47" s="262" t="s">
        <v>8</v>
      </c>
    </row>
    <row r="48" spans="1:6">
      <c r="A48" s="361"/>
      <c r="B48" s="276" t="s">
        <v>301</v>
      </c>
      <c r="C48" s="263" t="s">
        <v>208</v>
      </c>
      <c r="D48" s="363"/>
      <c r="E48" s="248" t="s">
        <v>176</v>
      </c>
    </row>
    <row r="49" spans="1:6">
      <c r="A49" s="5" t="s">
        <v>2</v>
      </c>
      <c r="B49" s="274">
        <v>2.5</v>
      </c>
      <c r="C49" s="274">
        <f>B15</f>
        <v>92</v>
      </c>
      <c r="D49" s="274">
        <f>ROUNDUP(C49*B49,0)</f>
        <v>230</v>
      </c>
      <c r="E49" s="277">
        <f>D49*$E$42*12</f>
        <v>14284057.772636164</v>
      </c>
      <c r="F49" s="15"/>
    </row>
    <row r="50" spans="1:6">
      <c r="A50" s="5" t="s">
        <v>3</v>
      </c>
      <c r="B50" s="11">
        <v>2.5</v>
      </c>
      <c r="C50" s="11">
        <f>B16</f>
        <v>133</v>
      </c>
      <c r="D50" s="11">
        <f>ROUNDUP(C50*B50,0)</f>
        <v>333</v>
      </c>
      <c r="E50" s="6">
        <f>D50*$E$42*12</f>
        <v>20680831.470816709</v>
      </c>
      <c r="F50" s="15"/>
    </row>
    <row r="51" spans="1:6">
      <c r="A51" s="7" t="s">
        <v>113</v>
      </c>
      <c r="B51" s="11">
        <v>2.2000000000000002</v>
      </c>
      <c r="C51" s="11">
        <f>B17</f>
        <v>40</v>
      </c>
      <c r="D51" s="11">
        <f>ROUNDUP(C51*B51,0)</f>
        <v>88</v>
      </c>
      <c r="E51" s="6">
        <f>D51*$E$42*12</f>
        <v>5465204.7130086198</v>
      </c>
      <c r="F51" s="15"/>
    </row>
    <row r="52" spans="1:6">
      <c r="E52" s="15">
        <f>SUM(E49:E51)</f>
        <v>40430093.956461497</v>
      </c>
    </row>
    <row r="53" spans="1:6">
      <c r="A53" s="2" t="s">
        <v>210</v>
      </c>
    </row>
    <row r="54" spans="1:6">
      <c r="A54" s="361" t="s">
        <v>1</v>
      </c>
      <c r="B54" s="270" t="s">
        <v>207</v>
      </c>
      <c r="C54" s="262" t="s">
        <v>21</v>
      </c>
      <c r="D54" s="362" t="s">
        <v>27</v>
      </c>
      <c r="E54" s="262" t="s">
        <v>8</v>
      </c>
    </row>
    <row r="55" spans="1:6">
      <c r="A55" s="361"/>
      <c r="B55" s="276" t="s">
        <v>301</v>
      </c>
      <c r="C55" s="263" t="s">
        <v>208</v>
      </c>
      <c r="D55" s="363"/>
      <c r="E55" s="248" t="s">
        <v>176</v>
      </c>
    </row>
    <row r="56" spans="1:6">
      <c r="A56" s="5" t="s">
        <v>2</v>
      </c>
      <c r="B56" s="274">
        <v>0.35</v>
      </c>
      <c r="C56" s="274">
        <f>B15</f>
        <v>92</v>
      </c>
      <c r="D56" s="274">
        <f>ROUNDUP(C56*B56,0)</f>
        <v>33</v>
      </c>
      <c r="E56" s="277">
        <f>D56*$E$43*12</f>
        <v>1462002.566126863</v>
      </c>
    </row>
    <row r="57" spans="1:6">
      <c r="A57" s="5" t="s">
        <v>3</v>
      </c>
      <c r="B57" s="11">
        <v>0.35</v>
      </c>
      <c r="C57" s="11">
        <f>B16</f>
        <v>133</v>
      </c>
      <c r="D57" s="11">
        <f>ROUNDUP(C57*B57,0)</f>
        <v>47</v>
      </c>
      <c r="E57" s="6">
        <f>D57*$E$43*12</f>
        <v>2082246.0790291687</v>
      </c>
    </row>
    <row r="58" spans="1:6">
      <c r="A58" s="7" t="s">
        <v>113</v>
      </c>
      <c r="B58" s="11">
        <v>0.35</v>
      </c>
      <c r="C58" s="11">
        <f>B17</f>
        <v>40</v>
      </c>
      <c r="D58" s="11">
        <f>ROUNDUP(C58*B58,0)</f>
        <v>14</v>
      </c>
      <c r="E58" s="6">
        <f>D58*$E$43*12</f>
        <v>620243.51290230558</v>
      </c>
    </row>
    <row r="59" spans="1:6">
      <c r="E59" s="15">
        <f>SUM(E56:E58)</f>
        <v>4164492.1580583369</v>
      </c>
    </row>
    <row r="60" spans="1:6">
      <c r="A60" s="2" t="s">
        <v>211</v>
      </c>
    </row>
    <row r="61" spans="1:6">
      <c r="A61" s="361" t="s">
        <v>1</v>
      </c>
      <c r="B61" s="270" t="s">
        <v>207</v>
      </c>
      <c r="C61" s="262" t="s">
        <v>21</v>
      </c>
      <c r="D61" s="362" t="s">
        <v>27</v>
      </c>
      <c r="E61" s="262" t="s">
        <v>8</v>
      </c>
    </row>
    <row r="62" spans="1:6">
      <c r="A62" s="361"/>
      <c r="B62" s="276" t="s">
        <v>301</v>
      </c>
      <c r="C62" s="263" t="s">
        <v>208</v>
      </c>
      <c r="D62" s="363"/>
      <c r="E62" s="248" t="s">
        <v>176</v>
      </c>
    </row>
    <row r="63" spans="1:6">
      <c r="A63" s="5" t="s">
        <v>2</v>
      </c>
      <c r="B63" s="274">
        <v>0.13500000000000001</v>
      </c>
      <c r="C63" s="274">
        <f>B15</f>
        <v>92</v>
      </c>
      <c r="D63" s="274">
        <f>ROUNDUP(C63*B63,0)</f>
        <v>13</v>
      </c>
      <c r="E63" s="277">
        <f>D63*$E$44*12</f>
        <v>575940.40483785514</v>
      </c>
    </row>
    <row r="64" spans="1:6">
      <c r="A64" s="5" t="s">
        <v>3</v>
      </c>
      <c r="B64" s="11">
        <v>0.13500000000000001</v>
      </c>
      <c r="C64" s="11">
        <f>B16</f>
        <v>133</v>
      </c>
      <c r="D64" s="11">
        <f>ROUNDUP(C64*B64,0)</f>
        <v>18</v>
      </c>
      <c r="E64" s="6">
        <f>D64*$E$44*12</f>
        <v>797455.94516010722</v>
      </c>
    </row>
    <row r="65" spans="1:6">
      <c r="A65" s="7" t="s">
        <v>113</v>
      </c>
      <c r="B65" s="11">
        <v>0.13500000000000001</v>
      </c>
      <c r="C65" s="11">
        <f>B17</f>
        <v>40</v>
      </c>
      <c r="D65" s="11">
        <f>ROUNDUP(C65*B65,0)</f>
        <v>6</v>
      </c>
      <c r="E65" s="6">
        <f>D65*$E$44*12</f>
        <v>265818.64838670241</v>
      </c>
    </row>
    <row r="66" spans="1:6">
      <c r="E66" s="15">
        <f>SUM(E63:E65)</f>
        <v>1639214.9983846648</v>
      </c>
    </row>
    <row r="67" spans="1:6">
      <c r="A67" s="2" t="s">
        <v>317</v>
      </c>
    </row>
    <row r="68" spans="1:6">
      <c r="A68" s="361" t="s">
        <v>1</v>
      </c>
      <c r="B68" s="270" t="s">
        <v>4</v>
      </c>
      <c r="C68" s="262" t="s">
        <v>4</v>
      </c>
      <c r="D68" s="265" t="s">
        <v>22</v>
      </c>
      <c r="E68" s="262" t="s">
        <v>8</v>
      </c>
    </row>
    <row r="69" spans="1:6">
      <c r="A69" s="361"/>
      <c r="B69" s="267" t="s">
        <v>4</v>
      </c>
      <c r="C69" s="263" t="s">
        <v>4</v>
      </c>
      <c r="D69" s="268" t="s">
        <v>318</v>
      </c>
      <c r="E69" s="248" t="s">
        <v>176</v>
      </c>
    </row>
    <row r="70" spans="1:6">
      <c r="A70" s="5" t="s">
        <v>2</v>
      </c>
      <c r="B70" s="263" t="s">
        <v>4</v>
      </c>
      <c r="C70" s="263" t="s">
        <v>4</v>
      </c>
      <c r="D70" s="274">
        <f>D49+D56+D63</f>
        <v>276</v>
      </c>
      <c r="E70" s="277">
        <f>E49+E56+E63</f>
        <v>16322000.743600883</v>
      </c>
    </row>
    <row r="71" spans="1:6">
      <c r="A71" s="5" t="s">
        <v>3</v>
      </c>
      <c r="B71" s="10" t="s">
        <v>4</v>
      </c>
      <c r="C71" s="10" t="s">
        <v>4</v>
      </c>
      <c r="D71" s="11">
        <f t="shared" ref="D71:E72" si="7">D50+D57+D64</f>
        <v>398</v>
      </c>
      <c r="E71" s="6">
        <f t="shared" si="7"/>
        <v>23560533.495005984</v>
      </c>
    </row>
    <row r="72" spans="1:6">
      <c r="A72" s="7" t="s">
        <v>113</v>
      </c>
      <c r="B72" s="10" t="s">
        <v>4</v>
      </c>
      <c r="C72" s="10" t="s">
        <v>4</v>
      </c>
      <c r="D72" s="11">
        <f t="shared" si="7"/>
        <v>108</v>
      </c>
      <c r="E72" s="6">
        <f t="shared" si="7"/>
        <v>6351266.8742976282</v>
      </c>
    </row>
    <row r="73" spans="1:6" ht="13.9" customHeight="1">
      <c r="A73" s="350" t="s">
        <v>319</v>
      </c>
      <c r="B73" s="351"/>
      <c r="C73" s="358"/>
      <c r="D73" s="206">
        <f>SUM(D70:D72)</f>
        <v>782</v>
      </c>
      <c r="E73" s="207">
        <f>SUM(E70:E72)</f>
        <v>46233801.112904496</v>
      </c>
    </row>
    <row r="74" spans="1:6">
      <c r="D74" s="3"/>
      <c r="E74" s="110"/>
    </row>
    <row r="75" spans="1:6">
      <c r="A75" s="3" t="s">
        <v>172</v>
      </c>
    </row>
    <row r="76" spans="1:6">
      <c r="A76" s="361" t="s">
        <v>1</v>
      </c>
      <c r="B76" s="281" t="s">
        <v>165</v>
      </c>
      <c r="C76" s="364" t="s">
        <v>212</v>
      </c>
      <c r="D76" s="366"/>
      <c r="E76" s="262" t="s">
        <v>8</v>
      </c>
    </row>
    <row r="77" spans="1:6">
      <c r="A77" s="361"/>
      <c r="B77" s="282"/>
      <c r="C77" s="365" t="s">
        <v>176</v>
      </c>
      <c r="D77" s="367"/>
      <c r="E77" s="248" t="s">
        <v>176</v>
      </c>
    </row>
    <row r="78" spans="1:6">
      <c r="A78" s="5" t="s">
        <v>2</v>
      </c>
      <c r="B78" s="275">
        <v>0.105</v>
      </c>
      <c r="C78" s="261">
        <f>E70</f>
        <v>16322000.743600883</v>
      </c>
      <c r="D78" s="263" t="s">
        <v>4</v>
      </c>
      <c r="E78" s="261">
        <f>B78*C78</f>
        <v>1713810.0780780925</v>
      </c>
      <c r="F78" s="22"/>
    </row>
    <row r="79" spans="1:6">
      <c r="A79" s="5" t="s">
        <v>3</v>
      </c>
      <c r="B79" s="126">
        <f>B78</f>
        <v>0.105</v>
      </c>
      <c r="C79" s="12">
        <f>E71</f>
        <v>23560533.495005984</v>
      </c>
      <c r="D79" s="10" t="s">
        <v>4</v>
      </c>
      <c r="E79" s="12">
        <f t="shared" ref="E79:E80" si="8">B79*C79</f>
        <v>2473856.0169756282</v>
      </c>
      <c r="F79" s="22"/>
    </row>
    <row r="80" spans="1:6">
      <c r="A80" s="7" t="s">
        <v>113</v>
      </c>
      <c r="B80" s="126">
        <f>B79</f>
        <v>0.105</v>
      </c>
      <c r="C80" s="12">
        <f>E72</f>
        <v>6351266.8742976282</v>
      </c>
      <c r="D80" s="10" t="s">
        <v>4</v>
      </c>
      <c r="E80" s="12">
        <f t="shared" si="8"/>
        <v>666883.02180125099</v>
      </c>
      <c r="F80" s="22"/>
    </row>
    <row r="82" spans="1:6" ht="13.9" customHeight="1">
      <c r="C82" s="350" t="s">
        <v>214</v>
      </c>
      <c r="D82" s="351"/>
      <c r="E82" s="204">
        <f>SUM(E78:E80)</f>
        <v>4854549.1168549713</v>
      </c>
    </row>
    <row r="83" spans="1:6">
      <c r="E83" s="21"/>
    </row>
    <row r="84" spans="1:6">
      <c r="D84" s="3"/>
      <c r="E84" s="21"/>
    </row>
    <row r="85" spans="1:6">
      <c r="A85" s="3" t="s">
        <v>117</v>
      </c>
    </row>
    <row r="86" spans="1:6" ht="25.5">
      <c r="A86" s="361" t="s">
        <v>1</v>
      </c>
      <c r="B86" s="368" t="s">
        <v>165</v>
      </c>
      <c r="C86" s="322" t="s">
        <v>202</v>
      </c>
      <c r="D86" s="247" t="s">
        <v>209</v>
      </c>
      <c r="E86" s="247" t="s">
        <v>8</v>
      </c>
    </row>
    <row r="87" spans="1:6" ht="17.25" customHeight="1">
      <c r="A87" s="361"/>
      <c r="B87" s="369"/>
      <c r="C87" s="248" t="s">
        <v>302</v>
      </c>
      <c r="D87" s="248" t="s">
        <v>208</v>
      </c>
      <c r="E87" s="248" t="s">
        <v>176</v>
      </c>
    </row>
    <row r="88" spans="1:6">
      <c r="A88" s="5" t="s">
        <v>2</v>
      </c>
      <c r="B88" s="275">
        <f>0.0025</f>
        <v>2.5000000000000001E-3</v>
      </c>
      <c r="C88" s="261">
        <f>B10</f>
        <v>1400000</v>
      </c>
      <c r="D88" s="274">
        <f>B15</f>
        <v>92</v>
      </c>
      <c r="E88" s="261">
        <f>12*B88*C88*D88</f>
        <v>3864000</v>
      </c>
      <c r="F88" s="15"/>
    </row>
    <row r="89" spans="1:6">
      <c r="A89" s="5" t="s">
        <v>3</v>
      </c>
      <c r="B89" s="126">
        <f>B88</f>
        <v>2.5000000000000001E-3</v>
      </c>
      <c r="C89" s="12">
        <f>B11</f>
        <v>1012000</v>
      </c>
      <c r="D89" s="11">
        <f>B16</f>
        <v>133</v>
      </c>
      <c r="E89" s="12">
        <f t="shared" ref="E89:E90" si="9">12*B89*C89*D89</f>
        <v>4037880</v>
      </c>
      <c r="F89" s="15"/>
    </row>
    <row r="90" spans="1:6">
      <c r="A90" s="7" t="s">
        <v>113</v>
      </c>
      <c r="B90" s="126">
        <f>B89</f>
        <v>2.5000000000000001E-3</v>
      </c>
      <c r="C90" s="12">
        <f>B12</f>
        <v>3069264</v>
      </c>
      <c r="D90" s="11">
        <f>B17</f>
        <v>40</v>
      </c>
      <c r="E90" s="12">
        <f t="shared" si="9"/>
        <v>3683116.8</v>
      </c>
      <c r="F90" s="15"/>
    </row>
    <row r="92" spans="1:6">
      <c r="C92" s="205"/>
      <c r="D92" s="202" t="s">
        <v>213</v>
      </c>
      <c r="E92" s="66">
        <f>SUM(E88:E90)</f>
        <v>11584996.800000001</v>
      </c>
    </row>
    <row r="93" spans="1:6">
      <c r="D93" s="3"/>
      <c r="E93" s="16"/>
    </row>
    <row r="94" spans="1:6">
      <c r="D94" s="3"/>
      <c r="E94" s="16"/>
    </row>
    <row r="95" spans="1:6">
      <c r="A95" s="3"/>
    </row>
    <row r="96" spans="1:6" ht="14.25">
      <c r="A96" s="3" t="s">
        <v>182</v>
      </c>
      <c r="B96"/>
      <c r="C96"/>
    </row>
    <row r="97" spans="1:7" ht="22.5">
      <c r="A97" s="243" t="s">
        <v>163</v>
      </c>
      <c r="B97" s="131">
        <v>3453110.67</v>
      </c>
      <c r="C97"/>
    </row>
    <row r="98" spans="1:7" ht="14.25">
      <c r="A98" s="178" t="s">
        <v>199</v>
      </c>
      <c r="B98" s="132">
        <v>4.4999999999999997E-3</v>
      </c>
      <c r="C98"/>
    </row>
    <row r="99" spans="1:7">
      <c r="A99" s="179">
        <v>7.3800000000000004E-2</v>
      </c>
      <c r="B99" s="104">
        <f>(B97*B98)*7.38%</f>
        <v>1146.7780535070001</v>
      </c>
      <c r="C99" s="32"/>
    </row>
    <row r="100" spans="1:7">
      <c r="A100" s="208" t="s">
        <v>251</v>
      </c>
      <c r="B100" s="196">
        <f>(B97*B98)+B99</f>
        <v>16685.776068506999</v>
      </c>
    </row>
    <row r="101" spans="1:7">
      <c r="A101" s="3" t="s">
        <v>219</v>
      </c>
    </row>
    <row r="102" spans="1:7">
      <c r="A102" s="153" t="s">
        <v>220</v>
      </c>
    </row>
    <row r="103" spans="1:7">
      <c r="A103" s="349" t="s">
        <v>1</v>
      </c>
      <c r="B103" s="281" t="s">
        <v>77</v>
      </c>
      <c r="C103" s="262" t="s">
        <v>209</v>
      </c>
      <c r="D103" s="265" t="s">
        <v>8</v>
      </c>
      <c r="E103" s="262" t="s">
        <v>8</v>
      </c>
    </row>
    <row r="104" spans="1:7">
      <c r="A104" s="349"/>
      <c r="B104" s="282" t="s">
        <v>303</v>
      </c>
      <c r="C104" s="263" t="s">
        <v>208</v>
      </c>
      <c r="D104" s="280" t="s">
        <v>300</v>
      </c>
      <c r="E104" s="248" t="s">
        <v>176</v>
      </c>
    </row>
    <row r="105" spans="1:7">
      <c r="A105" s="35" t="s">
        <v>2</v>
      </c>
      <c r="B105" s="328">
        <f>445879.5/(12*SUM(C105:C107))</f>
        <v>140.21367924528303</v>
      </c>
      <c r="C105" s="274">
        <f>B15</f>
        <v>92</v>
      </c>
      <c r="D105" s="261">
        <f>B105*C105</f>
        <v>12899.658490566038</v>
      </c>
      <c r="E105" s="261">
        <f>12*D105</f>
        <v>154795.90188679245</v>
      </c>
    </row>
    <row r="106" spans="1:7">
      <c r="A106" s="35" t="s">
        <v>3</v>
      </c>
      <c r="B106" s="133">
        <f>B105</f>
        <v>140.21367924528303</v>
      </c>
      <c r="C106" s="11">
        <f>B16</f>
        <v>133</v>
      </c>
      <c r="D106" s="12">
        <f t="shared" ref="D106:D107" si="10">B106*C106</f>
        <v>18648.419339622644</v>
      </c>
      <c r="E106" s="12">
        <f t="shared" ref="E106:E107" si="11">12*D106</f>
        <v>223781.03207547171</v>
      </c>
    </row>
    <row r="107" spans="1:7">
      <c r="A107" s="143" t="s">
        <v>113</v>
      </c>
      <c r="B107" s="133">
        <f>B106</f>
        <v>140.21367924528303</v>
      </c>
      <c r="C107" s="11">
        <f>B17</f>
        <v>40</v>
      </c>
      <c r="D107" s="12">
        <f t="shared" si="10"/>
        <v>5608.5471698113215</v>
      </c>
      <c r="E107" s="12">
        <f t="shared" si="11"/>
        <v>67302.566037735858</v>
      </c>
    </row>
    <row r="108" spans="1:7">
      <c r="A108" s="153"/>
      <c r="E108" s="15">
        <f>SUM(E105:E107)</f>
        <v>445879.5</v>
      </c>
    </row>
    <row r="109" spans="1:7">
      <c r="A109" s="153" t="s">
        <v>221</v>
      </c>
    </row>
    <row r="110" spans="1:7">
      <c r="A110" s="349" t="s">
        <v>1</v>
      </c>
      <c r="B110" s="281" t="s">
        <v>77</v>
      </c>
      <c r="C110" s="262" t="s">
        <v>209</v>
      </c>
      <c r="D110" s="265" t="s">
        <v>8</v>
      </c>
      <c r="E110" s="262" t="s">
        <v>8</v>
      </c>
    </row>
    <row r="111" spans="1:7">
      <c r="A111" s="349"/>
      <c r="B111" s="282" t="s">
        <v>303</v>
      </c>
      <c r="C111" s="263" t="s">
        <v>208</v>
      </c>
      <c r="D111" s="280" t="s">
        <v>300</v>
      </c>
      <c r="E111" s="248" t="s">
        <v>176</v>
      </c>
      <c r="G111" s="33"/>
    </row>
    <row r="112" spans="1:7">
      <c r="A112" s="35" t="s">
        <v>2</v>
      </c>
      <c r="B112" s="328">
        <f>13404314.8/(12*SUM(C112:C114))</f>
        <v>4215.1933333333336</v>
      </c>
      <c r="C112" s="274">
        <f>B15</f>
        <v>92</v>
      </c>
      <c r="D112" s="277">
        <f>B112*C112</f>
        <v>387797.78666666668</v>
      </c>
      <c r="E112" s="277">
        <f>12*D112</f>
        <v>4653573.4400000004</v>
      </c>
      <c r="F112" s="15"/>
    </row>
    <row r="113" spans="1:6">
      <c r="A113" s="35" t="s">
        <v>3</v>
      </c>
      <c r="B113" s="133">
        <f>B112</f>
        <v>4215.1933333333336</v>
      </c>
      <c r="C113" s="11">
        <f>B16</f>
        <v>133</v>
      </c>
      <c r="D113" s="6">
        <f t="shared" ref="D113:D114" si="12">B113*C113</f>
        <v>560620.71333333338</v>
      </c>
      <c r="E113" s="6">
        <f t="shared" ref="E113:E114" si="13">12*D113</f>
        <v>6727448.5600000005</v>
      </c>
      <c r="F113" s="15"/>
    </row>
    <row r="114" spans="1:6">
      <c r="A114" s="143" t="s">
        <v>113</v>
      </c>
      <c r="B114" s="133">
        <f>B113</f>
        <v>4215.1933333333336</v>
      </c>
      <c r="C114" s="11">
        <f>B17</f>
        <v>40</v>
      </c>
      <c r="D114" s="6">
        <f t="shared" si="12"/>
        <v>168607.73333333334</v>
      </c>
      <c r="E114" s="6">
        <f t="shared" si="13"/>
        <v>2023292.8</v>
      </c>
      <c r="F114" s="15"/>
    </row>
    <row r="115" spans="1:6">
      <c r="A115" s="153"/>
      <c r="D115" s="22"/>
      <c r="E115" s="22">
        <f>SUM(E112:E114)</f>
        <v>13404314.800000001</v>
      </c>
    </row>
    <row r="116" spans="1:6">
      <c r="A116" s="153" t="s">
        <v>222</v>
      </c>
    </row>
    <row r="117" spans="1:6">
      <c r="A117" s="349" t="s">
        <v>1</v>
      </c>
      <c r="B117" s="281" t="s">
        <v>77</v>
      </c>
      <c r="C117" s="262" t="s">
        <v>8</v>
      </c>
    </row>
    <row r="118" spans="1:6">
      <c r="A118" s="349"/>
      <c r="B118" s="282" t="s">
        <v>300</v>
      </c>
      <c r="C118" s="248" t="s">
        <v>176</v>
      </c>
    </row>
    <row r="119" spans="1:6">
      <c r="A119" s="154" t="s">
        <v>90</v>
      </c>
      <c r="B119" s="328">
        <f>0.2%*5000000/12</f>
        <v>833.33333333333337</v>
      </c>
      <c r="C119" s="329">
        <f>12*B119</f>
        <v>10000</v>
      </c>
    </row>
    <row r="120" spans="1:6">
      <c r="A120" s="155"/>
      <c r="B120" s="111"/>
      <c r="C120" s="112">
        <f>SUM(C119:C119)</f>
        <v>10000</v>
      </c>
      <c r="D120" s="97"/>
    </row>
    <row r="121" spans="1:6">
      <c r="A121" s="155"/>
      <c r="B121" s="97"/>
      <c r="C121" s="97"/>
      <c r="D121" s="97"/>
      <c r="E121" s="22"/>
    </row>
    <row r="122" spans="1:6">
      <c r="A122" s="153" t="s">
        <v>223</v>
      </c>
      <c r="D122" s="97"/>
      <c r="E122" s="22"/>
    </row>
    <row r="123" spans="1:6">
      <c r="A123" s="349" t="s">
        <v>1</v>
      </c>
      <c r="B123" s="281" t="s">
        <v>77</v>
      </c>
      <c r="C123" s="262" t="s">
        <v>8</v>
      </c>
      <c r="D123" s="97"/>
      <c r="E123" s="22"/>
    </row>
    <row r="124" spans="1:6">
      <c r="A124" s="349"/>
      <c r="B124" s="282" t="s">
        <v>300</v>
      </c>
      <c r="C124" s="248" t="s">
        <v>176</v>
      </c>
      <c r="D124" s="97"/>
      <c r="E124" s="22"/>
    </row>
    <row r="125" spans="1:6">
      <c r="A125" s="154" t="s">
        <v>177</v>
      </c>
      <c r="B125" s="328">
        <v>752</v>
      </c>
      <c r="C125" s="329">
        <f>12*B125</f>
        <v>9024</v>
      </c>
      <c r="D125" s="111"/>
      <c r="E125" s="22"/>
    </row>
    <row r="126" spans="1:6">
      <c r="A126" s="155"/>
      <c r="B126" s="111"/>
      <c r="C126" s="112">
        <f>SUM(C125:C125)</f>
        <v>9024</v>
      </c>
      <c r="D126" s="111"/>
      <c r="E126" s="22"/>
    </row>
    <row r="127" spans="1:6">
      <c r="A127" s="155"/>
      <c r="B127" s="111"/>
      <c r="C127" s="112"/>
      <c r="D127" s="111"/>
      <c r="E127" s="22"/>
    </row>
    <row r="128" spans="1:6">
      <c r="A128" s="153" t="s">
        <v>224</v>
      </c>
      <c r="D128" s="111"/>
      <c r="E128" s="22"/>
    </row>
    <row r="129" spans="1:5">
      <c r="A129" s="357" t="s">
        <v>1</v>
      </c>
      <c r="B129" s="361" t="s">
        <v>22</v>
      </c>
      <c r="C129" s="281" t="s">
        <v>77</v>
      </c>
      <c r="D129" s="262" t="s">
        <v>8</v>
      </c>
      <c r="E129" s="22"/>
    </row>
    <row r="130" spans="1:5">
      <c r="A130" s="357"/>
      <c r="B130" s="361"/>
      <c r="C130" s="282" t="s">
        <v>300</v>
      </c>
      <c r="D130" s="248" t="s">
        <v>176</v>
      </c>
      <c r="E130" s="22"/>
    </row>
    <row r="131" spans="1:5" ht="25.5">
      <c r="A131" s="244" t="s">
        <v>142</v>
      </c>
      <c r="B131" s="4">
        <v>2</v>
      </c>
      <c r="C131" s="137">
        <v>600</v>
      </c>
      <c r="D131" s="330">
        <f>B131*12*C131</f>
        <v>14400</v>
      </c>
      <c r="E131" s="22"/>
    </row>
    <row r="132" spans="1:5">
      <c r="A132" s="31"/>
      <c r="C132" s="97"/>
      <c r="D132" s="22">
        <f>SUM(D131:D131)</f>
        <v>14400</v>
      </c>
      <c r="E132" s="22"/>
    </row>
    <row r="133" spans="1:5" ht="27.75" customHeight="1">
      <c r="A133" s="238" t="s">
        <v>304</v>
      </c>
      <c r="B133" s="240">
        <f>C120+C126+D132</f>
        <v>33424</v>
      </c>
      <c r="C133" s="97"/>
      <c r="D133" s="97"/>
      <c r="E133" s="97"/>
    </row>
    <row r="134" spans="1:5" ht="39.75" customHeight="1">
      <c r="A134" s="239" t="s">
        <v>225</v>
      </c>
      <c r="B134" s="241">
        <f>SUM(E108,E115,C120,C126,D132)</f>
        <v>13883618.300000001</v>
      </c>
      <c r="E134" s="15"/>
    </row>
    <row r="136" spans="1:5">
      <c r="C136" s="370" t="s">
        <v>183</v>
      </c>
      <c r="D136" s="371"/>
      <c r="E136" s="76">
        <f>E108+E115+C120+C126+D132+B100</f>
        <v>13900304.076068508</v>
      </c>
    </row>
    <row r="137" spans="1:5">
      <c r="C137" s="199"/>
      <c r="D137" s="200"/>
      <c r="E137" s="22"/>
    </row>
    <row r="138" spans="1:5">
      <c r="A138" s="3"/>
      <c r="C138" s="199"/>
      <c r="D138" s="199"/>
    </row>
    <row r="139" spans="1:5">
      <c r="C139" s="350" t="s">
        <v>307</v>
      </c>
      <c r="D139" s="351"/>
      <c r="E139" s="66">
        <f>'Plan9-AuxiliarEncargos'!E11*12</f>
        <v>951523.56</v>
      </c>
    </row>
    <row r="140" spans="1:5">
      <c r="C140" s="199"/>
      <c r="D140" s="199"/>
    </row>
    <row r="141" spans="1:5">
      <c r="A141" s="3"/>
      <c r="C141" s="199"/>
      <c r="D141" s="199"/>
    </row>
    <row r="142" spans="1:5">
      <c r="C142" s="199"/>
      <c r="D142" s="199"/>
    </row>
    <row r="143" spans="1:5">
      <c r="C143" s="199"/>
      <c r="D143" s="201" t="s">
        <v>79</v>
      </c>
      <c r="E143" s="66">
        <f>SUM(E26,E36,E73,E82,E92,E136,E139)</f>
        <v>80474324.42582798</v>
      </c>
    </row>
    <row r="145" spans="1:6">
      <c r="E145" s="15"/>
    </row>
    <row r="146" spans="1:6">
      <c r="A146" s="3"/>
    </row>
    <row r="147" spans="1:6">
      <c r="E147" s="15"/>
      <c r="F147" s="15"/>
    </row>
  </sheetData>
  <sheetProtection algorithmName="SHA-512" hashValue="9dlwEfzQSZqSh9Ges4WJ90ZosYQKTf4r/VXQlfVM3wfmidoo9B4CbddVL4knRCno+Mu6OMbqCoYz7iXXhIPwDw==" saltValue="Ft4yU0LWQcaunkIZGxXUpg==" spinCount="100000" sheet="1" objects="1" scenarios="1"/>
  <customSheetViews>
    <customSheetView guid="{B8BA5BCE-F393-4B11-B2A4-25A7A54F3B8C}" showGridLines="0" topLeftCell="A105">
      <selection activeCell="C129" sqref="C129"/>
      <pageMargins left="0.511811024" right="0.511811024" top="0.78740157499999996" bottom="0.78740157499999996" header="0.31496062000000002" footer="0.31496062000000002"/>
      <pageSetup paperSize="9" orientation="portrait" horizontalDpi="0" verticalDpi="0" r:id="rId1"/>
    </customSheetView>
  </customSheetViews>
  <mergeCells count="34">
    <mergeCell ref="B36:D36"/>
    <mergeCell ref="A30:A31"/>
    <mergeCell ref="B30:B31"/>
    <mergeCell ref="C30:C31"/>
    <mergeCell ref="D30:D31"/>
    <mergeCell ref="A8:A9"/>
    <mergeCell ref="B20:B21"/>
    <mergeCell ref="C20:C21"/>
    <mergeCell ref="D20:D21"/>
    <mergeCell ref="C26:D26"/>
    <mergeCell ref="C139:D139"/>
    <mergeCell ref="C136:D136"/>
    <mergeCell ref="A103:A104"/>
    <mergeCell ref="A110:A111"/>
    <mergeCell ref="A117:A118"/>
    <mergeCell ref="A123:A124"/>
    <mergeCell ref="A129:A130"/>
    <mergeCell ref="B129:B130"/>
    <mergeCell ref="A68:A69"/>
    <mergeCell ref="A76:A77"/>
    <mergeCell ref="A86:A87"/>
    <mergeCell ref="A47:A48"/>
    <mergeCell ref="D47:D48"/>
    <mergeCell ref="C82:D82"/>
    <mergeCell ref="A73:C73"/>
    <mergeCell ref="C76:D76"/>
    <mergeCell ref="C77:D77"/>
    <mergeCell ref="B86:B87"/>
    <mergeCell ref="A40:A41"/>
    <mergeCell ref="A54:A55"/>
    <mergeCell ref="A61:A62"/>
    <mergeCell ref="D61:D62"/>
    <mergeCell ref="D54:D55"/>
    <mergeCell ref="B40:B41"/>
  </mergeCells>
  <pageMargins left="0.511811024" right="0.511811024" top="0.78740157499999996" bottom="0.78740157499999996" header="0.31496062000000002" footer="0.31496062000000002"/>
  <pageSetup paperSize="9" scale="73" orientation="portrait" r:id="rId2"/>
  <rowBreaks count="1" manualBreakCount="1">
    <brk id="7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showGridLines="0" view="pageBreakPreview" topLeftCell="A22" zoomScale="145" zoomScaleNormal="80" zoomScaleSheetLayoutView="145" workbookViewId="0">
      <selection activeCell="B27" sqref="B27"/>
    </sheetView>
  </sheetViews>
  <sheetFormatPr defaultColWidth="9.125" defaultRowHeight="12.75"/>
  <cols>
    <col min="1" max="1" width="27.75" style="2" customWidth="1"/>
    <col min="2" max="2" width="15.375" style="2" customWidth="1"/>
    <col min="3" max="3" width="12.75" style="2" customWidth="1"/>
    <col min="4" max="4" width="19.375" style="2" customWidth="1"/>
    <col min="5" max="5" width="16.25" style="2" bestFit="1" customWidth="1"/>
    <col min="6" max="16384" width="9.125" style="2"/>
  </cols>
  <sheetData>
    <row r="1" spans="1:12">
      <c r="A1" s="1" t="s">
        <v>244</v>
      </c>
      <c r="B1" s="27"/>
      <c r="C1" s="27"/>
    </row>
    <row r="2" spans="1:12">
      <c r="A2" s="423" t="s">
        <v>242</v>
      </c>
      <c r="B2" s="27"/>
      <c r="C2" s="27"/>
    </row>
    <row r="5" spans="1:12" s="93" customFormat="1" ht="15">
      <c r="A5" s="103" t="s">
        <v>272</v>
      </c>
    </row>
    <row r="6" spans="1:12">
      <c r="A6" s="139"/>
      <c r="B6" s="157"/>
      <c r="C6" s="8"/>
      <c r="D6" s="8"/>
      <c r="E6" s="8"/>
    </row>
    <row r="7" spans="1:12">
      <c r="A7" s="153"/>
      <c r="B7" s="153"/>
    </row>
    <row r="8" spans="1:12">
      <c r="A8" s="153" t="s">
        <v>179</v>
      </c>
      <c r="B8" s="153"/>
    </row>
    <row r="9" spans="1:12" ht="25.5">
      <c r="A9" s="142" t="s">
        <v>67</v>
      </c>
      <c r="B9" s="142" t="s">
        <v>143</v>
      </c>
      <c r="C9" s="25" t="s">
        <v>81</v>
      </c>
      <c r="D9" s="25" t="s">
        <v>320</v>
      </c>
      <c r="E9" s="25" t="s">
        <v>144</v>
      </c>
      <c r="L9"/>
    </row>
    <row r="10" spans="1:12">
      <c r="A10" s="158" t="s">
        <v>178</v>
      </c>
      <c r="B10" s="35">
        <v>4</v>
      </c>
      <c r="C10" s="35">
        <v>3</v>
      </c>
      <c r="D10" s="36">
        <f>'Plan9-AuxiliarEncargos'!B33</f>
        <v>0.1709090909090909</v>
      </c>
      <c r="E10" s="5">
        <f>IF(D10&gt;0,ROUNDUP(B10*C10*(1+D10),0),B10*C10)</f>
        <v>15</v>
      </c>
    </row>
    <row r="11" spans="1:12">
      <c r="A11" s="153"/>
      <c r="B11" s="153"/>
    </row>
    <row r="12" spans="1:12">
      <c r="A12" s="349" t="s">
        <v>67</v>
      </c>
      <c r="B12" s="286" t="s">
        <v>41</v>
      </c>
      <c r="C12" s="247" t="s">
        <v>85</v>
      </c>
      <c r="D12" s="287" t="s">
        <v>74</v>
      </c>
      <c r="E12" s="289" t="s">
        <v>8</v>
      </c>
    </row>
    <row r="13" spans="1:12">
      <c r="A13" s="349"/>
      <c r="B13" s="288" t="s">
        <v>305</v>
      </c>
      <c r="C13" s="248" t="s">
        <v>306</v>
      </c>
      <c r="D13" s="280" t="s">
        <v>306</v>
      </c>
      <c r="E13" s="248" t="s">
        <v>300</v>
      </c>
    </row>
    <row r="14" spans="1:12">
      <c r="A14" s="158" t="s">
        <v>178</v>
      </c>
      <c r="B14" s="283">
        <f>'Plan9-AuxiliarEncargos'!B36</f>
        <v>0.64224320000000001</v>
      </c>
      <c r="C14" s="284">
        <f>1532.62*1.075</f>
        <v>1647.5664999999999</v>
      </c>
      <c r="D14" s="285">
        <f>'Plan9-AuxiliarEncargos'!F20</f>
        <v>938.51937375593332</v>
      </c>
      <c r="E14" s="285">
        <f>(1+B14)*C14+D14</f>
        <v>3644.2242549287334</v>
      </c>
    </row>
    <row r="15" spans="1:12">
      <c r="A15" s="153"/>
      <c r="B15" s="153"/>
    </row>
    <row r="16" spans="1:12">
      <c r="A16" s="357" t="s">
        <v>67</v>
      </c>
      <c r="B16" s="374" t="s">
        <v>144</v>
      </c>
      <c r="C16" s="348" t="s">
        <v>8</v>
      </c>
      <c r="D16" s="262" t="s">
        <v>86</v>
      </c>
      <c r="E16" s="266" t="s">
        <v>75</v>
      </c>
    </row>
    <row r="17" spans="1:7">
      <c r="A17" s="357"/>
      <c r="B17" s="374"/>
      <c r="C17" s="276" t="s">
        <v>309</v>
      </c>
      <c r="D17" s="248" t="s">
        <v>309</v>
      </c>
      <c r="E17" s="269" t="s">
        <v>308</v>
      </c>
    </row>
    <row r="18" spans="1:7">
      <c r="A18" s="34" t="s">
        <v>178</v>
      </c>
      <c r="B18" s="11">
        <f>E10</f>
        <v>15</v>
      </c>
      <c r="C18" s="261">
        <f>E14</f>
        <v>3644.2242549287334</v>
      </c>
      <c r="D18" s="272">
        <f>B18*C18</f>
        <v>54663.363823931002</v>
      </c>
      <c r="E18" s="272">
        <f>12*D18</f>
        <v>655960.36588717205</v>
      </c>
    </row>
    <row r="19" spans="1:7">
      <c r="A19" s="13" t="s">
        <v>118</v>
      </c>
    </row>
    <row r="20" spans="1:7" ht="13.9" customHeight="1">
      <c r="C20" s="352" t="s">
        <v>227</v>
      </c>
      <c r="D20" s="353"/>
      <c r="E20" s="203">
        <f>E18</f>
        <v>655960.36588717205</v>
      </c>
    </row>
    <row r="21" spans="1:7">
      <c r="D21" s="153"/>
    </row>
    <row r="22" spans="1:7">
      <c r="A22" s="2" t="s">
        <v>128</v>
      </c>
      <c r="D22" s="153"/>
    </row>
    <row r="23" spans="1:7">
      <c r="A23" s="2" t="s">
        <v>184</v>
      </c>
      <c r="D23" s="153"/>
    </row>
    <row r="24" spans="1:7">
      <c r="A24" s="375" t="s">
        <v>30</v>
      </c>
      <c r="B24" s="270" t="s">
        <v>247</v>
      </c>
      <c r="C24" s="262" t="s">
        <v>8</v>
      </c>
      <c r="D24" s="153"/>
    </row>
    <row r="25" spans="1:7">
      <c r="A25" s="375"/>
      <c r="B25" s="276" t="s">
        <v>305</v>
      </c>
      <c r="C25" s="248" t="s">
        <v>308</v>
      </c>
      <c r="D25" s="153"/>
    </row>
    <row r="26" spans="1:7">
      <c r="A26" s="5" t="s">
        <v>310</v>
      </c>
      <c r="B26" s="284">
        <v>9383.9439999999995</v>
      </c>
      <c r="C26" s="261">
        <f>12*B26</f>
        <v>112607.32799999999</v>
      </c>
      <c r="D26" s="153"/>
      <c r="G26" s="15"/>
    </row>
    <row r="27" spans="1:7">
      <c r="A27" s="5" t="s">
        <v>83</v>
      </c>
      <c r="B27" s="134">
        <v>703.79579999999999</v>
      </c>
      <c r="C27" s="12">
        <f>12*B27</f>
        <v>8445.5496000000003</v>
      </c>
      <c r="D27" s="153"/>
      <c r="G27" s="15"/>
    </row>
    <row r="28" spans="1:7">
      <c r="A28" s="5" t="s">
        <v>84</v>
      </c>
      <c r="B28" s="134">
        <v>4222.7748000000001</v>
      </c>
      <c r="C28" s="12">
        <f>12*B28</f>
        <v>50673.297600000005</v>
      </c>
      <c r="D28" s="153"/>
      <c r="G28" s="15"/>
    </row>
    <row r="29" spans="1:7">
      <c r="D29" s="153"/>
    </row>
    <row r="30" spans="1:7" ht="13.9" customHeight="1">
      <c r="C30" s="352" t="s">
        <v>226</v>
      </c>
      <c r="D30" s="353"/>
      <c r="E30" s="66">
        <f>SUM(C26:C28)</f>
        <v>171726.1752</v>
      </c>
    </row>
    <row r="31" spans="1:7">
      <c r="C31" s="199"/>
      <c r="D31" s="199"/>
    </row>
    <row r="32" spans="1:7" ht="13.9" customHeight="1">
      <c r="C32" s="350" t="s">
        <v>173</v>
      </c>
      <c r="D32" s="351"/>
      <c r="E32" s="66">
        <f>E20+E30</f>
        <v>827686.54108717199</v>
      </c>
    </row>
    <row r="35" spans="1:1">
      <c r="A35" s="3"/>
    </row>
  </sheetData>
  <sheetProtection algorithmName="SHA-512" hashValue="IGDHdNvsOKnYpAUpEvGxINl5zPQM0A5dQm7W19HpQroUa2/wHhrQmALJEVLXo+1t9HmVFcXPSKqZh8CTIc2GYg==" saltValue="ao3BR09GCkMAgTNLia1DEA==" spinCount="100000" sheet="1" objects="1" scenarios="1"/>
  <customSheetViews>
    <customSheetView guid="{B8BA5BCE-F393-4B11-B2A4-25A7A54F3B8C}" showGridLines="0">
      <selection activeCell="C9" sqref="C9"/>
      <pageMargins left="0.511811024" right="0.511811024" top="0.78740157499999996" bottom="0.78740157499999996" header="0.31496062000000002" footer="0.31496062000000002"/>
    </customSheetView>
  </customSheetViews>
  <mergeCells count="7">
    <mergeCell ref="C30:D30"/>
    <mergeCell ref="C32:D32"/>
    <mergeCell ref="A12:A13"/>
    <mergeCell ref="A16:A17"/>
    <mergeCell ref="B16:B17"/>
    <mergeCell ref="A24:A25"/>
    <mergeCell ref="C20:D20"/>
  </mergeCells>
  <pageMargins left="0.511811024" right="0.511811024" top="0.78740157499999996" bottom="0.78740157499999996" header="0.31496062000000002" footer="0.31496062000000002"/>
  <pageSetup paperSize="9"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showGridLines="0" view="pageBreakPreview" topLeftCell="A61" zoomScale="160" zoomScaleNormal="80" zoomScaleSheetLayoutView="160" workbookViewId="0">
      <selection activeCell="B68" sqref="B68:C68"/>
    </sheetView>
  </sheetViews>
  <sheetFormatPr defaultColWidth="8.75" defaultRowHeight="12.75"/>
  <cols>
    <col min="1" max="1" width="34.125" style="39" customWidth="1"/>
    <col min="2" max="2" width="13.75" style="39" customWidth="1"/>
    <col min="3" max="3" width="15.75" style="39" customWidth="1"/>
    <col min="4" max="4" width="20.75" style="39" customWidth="1"/>
    <col min="5" max="5" width="17.375" style="39" bestFit="1" customWidth="1"/>
    <col min="6" max="6" width="15.75" style="39" customWidth="1"/>
    <col min="7" max="7" width="13.25" style="39" customWidth="1"/>
    <col min="8" max="9" width="15.75" style="39" customWidth="1"/>
    <col min="10" max="16384" width="8.75" style="39"/>
  </cols>
  <sheetData>
    <row r="1" spans="1:9">
      <c r="A1" s="1" t="s">
        <v>244</v>
      </c>
      <c r="B1" s="27"/>
      <c r="C1" s="27"/>
    </row>
    <row r="2" spans="1:9">
      <c r="A2" s="423" t="s">
        <v>242</v>
      </c>
      <c r="B2" s="27"/>
      <c r="C2" s="27"/>
    </row>
    <row r="5" spans="1:9" s="340" customFormat="1" ht="26.45" customHeight="1">
      <c r="A5" s="384" t="s">
        <v>273</v>
      </c>
      <c r="B5" s="384"/>
      <c r="C5" s="384"/>
    </row>
    <row r="6" spans="1:9" s="38" customFormat="1">
      <c r="A6" s="159"/>
    </row>
    <row r="7" spans="1:9">
      <c r="A7" s="160"/>
    </row>
    <row r="8" spans="1:9">
      <c r="A8" s="175" t="s">
        <v>145</v>
      </c>
    </row>
    <row r="9" spans="1:9" ht="25.5">
      <c r="A9" s="161" t="s">
        <v>30</v>
      </c>
      <c r="B9" s="161" t="s">
        <v>80</v>
      </c>
      <c r="C9" s="161" t="s">
        <v>81</v>
      </c>
      <c r="D9" s="161" t="s">
        <v>320</v>
      </c>
      <c r="E9" s="161" t="s">
        <v>144</v>
      </c>
    </row>
    <row r="10" spans="1:9" s="45" customFormat="1">
      <c r="A10" s="41" t="s">
        <v>87</v>
      </c>
      <c r="B10" s="42">
        <v>1</v>
      </c>
      <c r="C10" s="42">
        <v>1</v>
      </c>
      <c r="D10" s="43">
        <f>'Plan9-AuxiliarEncargos'!B33</f>
        <v>0.1709090909090909</v>
      </c>
      <c r="E10" s="42">
        <f>IF(D10&gt;0,ROUNDUP(B10*C10*(1+D10),0),B10*C10)</f>
        <v>2</v>
      </c>
    </row>
    <row r="11" spans="1:9">
      <c r="A11" s="42" t="s">
        <v>264</v>
      </c>
      <c r="B11" s="42">
        <v>1</v>
      </c>
      <c r="C11" s="42">
        <v>1</v>
      </c>
      <c r="D11" s="43">
        <f>D10</f>
        <v>0.1709090909090909</v>
      </c>
      <c r="E11" s="42">
        <f>IF(D11&gt;0,ROUNDUP(B11*C11*(1+D11),0),B11*C11)</f>
        <v>2</v>
      </c>
    </row>
    <row r="12" spans="1:9">
      <c r="A12" s="42" t="s">
        <v>265</v>
      </c>
      <c r="B12" s="42">
        <v>1</v>
      </c>
      <c r="C12" s="42">
        <v>1</v>
      </c>
      <c r="D12" s="43">
        <f t="shared" ref="D12:D13" si="0">D11</f>
        <v>0.1709090909090909</v>
      </c>
      <c r="E12" s="42">
        <f>IF(D12&gt;0,ROUNDUP(B12*C12*(1+D12),0),B12*C12)</f>
        <v>2</v>
      </c>
    </row>
    <row r="13" spans="1:9">
      <c r="A13" s="41" t="s">
        <v>88</v>
      </c>
      <c r="B13" s="41">
        <v>1</v>
      </c>
      <c r="C13" s="41">
        <v>2</v>
      </c>
      <c r="D13" s="43">
        <f t="shared" si="0"/>
        <v>0.1709090909090909</v>
      </c>
      <c r="E13" s="42">
        <f>IF(D13&gt;0,ROUNDUP(B13*C13*(1+D13),0),B13*C13)</f>
        <v>3</v>
      </c>
    </row>
    <row r="14" spans="1:9">
      <c r="A14" s="160"/>
      <c r="B14" s="160"/>
      <c r="C14" s="160"/>
      <c r="D14" s="160"/>
      <c r="E14" s="160"/>
      <c r="I14" s="46"/>
    </row>
    <row r="15" spans="1:9">
      <c r="A15" s="385" t="s">
        <v>30</v>
      </c>
      <c r="B15" s="293" t="s">
        <v>85</v>
      </c>
      <c r="C15" s="251" t="s">
        <v>146</v>
      </c>
      <c r="D15" s="294" t="s">
        <v>91</v>
      </c>
      <c r="E15" s="160"/>
      <c r="I15" s="46"/>
    </row>
    <row r="16" spans="1:9">
      <c r="A16" s="385"/>
      <c r="B16" s="295" t="s">
        <v>300</v>
      </c>
      <c r="C16" s="298" t="s">
        <v>300</v>
      </c>
      <c r="D16" s="297" t="s">
        <v>300</v>
      </c>
      <c r="I16" s="46"/>
    </row>
    <row r="17" spans="1:9">
      <c r="A17" s="41" t="s">
        <v>87</v>
      </c>
      <c r="B17" s="290">
        <v>3636.2782999999999</v>
      </c>
      <c r="C17" s="291">
        <f>'Plan9-AuxiliarEncargos'!B36</f>
        <v>0.64224320000000001</v>
      </c>
      <c r="D17" s="292">
        <f>(1+C17)*B17</f>
        <v>5971.6533114825597</v>
      </c>
      <c r="F17" s="46"/>
      <c r="I17" s="46"/>
    </row>
    <row r="18" spans="1:9">
      <c r="A18" s="42" t="s">
        <v>264</v>
      </c>
      <c r="B18" s="135">
        <v>1849.8099609999999</v>
      </c>
      <c r="C18" s="47">
        <f>C17</f>
        <v>0.64224320000000001</v>
      </c>
      <c r="D18" s="48">
        <f t="shared" ref="D18:D20" si="1">(1+C18)*B18</f>
        <v>3037.8378297445151</v>
      </c>
      <c r="F18" s="46"/>
      <c r="I18" s="46"/>
    </row>
    <row r="19" spans="1:9">
      <c r="A19" s="42" t="s">
        <v>265</v>
      </c>
      <c r="B19" s="135">
        <v>1849.8099609999999</v>
      </c>
      <c r="C19" s="47">
        <f t="shared" ref="C19:C20" si="2">C18</f>
        <v>0.64224320000000001</v>
      </c>
      <c r="D19" s="48">
        <f t="shared" si="1"/>
        <v>3037.8378297445151</v>
      </c>
      <c r="F19" s="46"/>
      <c r="I19" s="46"/>
    </row>
    <row r="20" spans="1:9">
      <c r="A20" s="41" t="s">
        <v>88</v>
      </c>
      <c r="B20" s="135">
        <v>1548.35076</v>
      </c>
      <c r="C20" s="47">
        <f t="shared" si="2"/>
        <v>0.64224320000000001</v>
      </c>
      <c r="D20" s="48">
        <f t="shared" si="1"/>
        <v>2542.768506824832</v>
      </c>
      <c r="F20" s="46"/>
      <c r="I20" s="46"/>
    </row>
    <row r="21" spans="1:9">
      <c r="A21" s="160"/>
      <c r="I21" s="46"/>
    </row>
    <row r="22" spans="1:9">
      <c r="A22" s="385" t="s">
        <v>30</v>
      </c>
      <c r="B22" s="386" t="s">
        <v>147</v>
      </c>
      <c r="C22" s="303" t="s">
        <v>91</v>
      </c>
      <c r="D22" s="301" t="s">
        <v>86</v>
      </c>
      <c r="E22" s="303" t="s">
        <v>75</v>
      </c>
      <c r="I22" s="46"/>
    </row>
    <row r="23" spans="1:9">
      <c r="A23" s="385"/>
      <c r="B23" s="387"/>
      <c r="C23" s="298" t="s">
        <v>300</v>
      </c>
      <c r="D23" s="296" t="s">
        <v>300</v>
      </c>
      <c r="E23" s="298" t="s">
        <v>176</v>
      </c>
      <c r="I23" s="46"/>
    </row>
    <row r="24" spans="1:9">
      <c r="A24" s="41" t="s">
        <v>87</v>
      </c>
      <c r="B24" s="299">
        <f>E10</f>
        <v>2</v>
      </c>
      <c r="C24" s="300">
        <f>D17</f>
        <v>5971.6533114825597</v>
      </c>
      <c r="D24" s="300">
        <f>B24*C24</f>
        <v>11943.306622965119</v>
      </c>
      <c r="E24" s="300">
        <f>12*D24</f>
        <v>143319.67947558145</v>
      </c>
      <c r="I24" s="46"/>
    </row>
    <row r="25" spans="1:9">
      <c r="A25" s="42" t="s">
        <v>264</v>
      </c>
      <c r="B25" s="41">
        <f>E11</f>
        <v>2</v>
      </c>
      <c r="C25" s="49">
        <f>D18</f>
        <v>3037.8378297445151</v>
      </c>
      <c r="D25" s="49">
        <f t="shared" ref="D25:D27" si="3">B25*C25</f>
        <v>6075.6756594890303</v>
      </c>
      <c r="E25" s="49">
        <f t="shared" ref="E25:E27" si="4">12*D25</f>
        <v>72908.107913868356</v>
      </c>
      <c r="I25" s="46"/>
    </row>
    <row r="26" spans="1:9">
      <c r="A26" s="42" t="s">
        <v>265</v>
      </c>
      <c r="B26" s="41">
        <f>E12</f>
        <v>2</v>
      </c>
      <c r="C26" s="49">
        <f>D19</f>
        <v>3037.8378297445151</v>
      </c>
      <c r="D26" s="49">
        <f t="shared" si="3"/>
        <v>6075.6756594890303</v>
      </c>
      <c r="E26" s="49">
        <f t="shared" si="4"/>
        <v>72908.107913868356</v>
      </c>
      <c r="I26" s="46"/>
    </row>
    <row r="27" spans="1:9">
      <c r="A27" s="41" t="s">
        <v>88</v>
      </c>
      <c r="B27" s="41">
        <f>E13</f>
        <v>3</v>
      </c>
      <c r="C27" s="49">
        <f>D20</f>
        <v>2542.768506824832</v>
      </c>
      <c r="D27" s="49">
        <f t="shared" si="3"/>
        <v>7628.305520474496</v>
      </c>
      <c r="E27" s="49">
        <f t="shared" si="4"/>
        <v>91539.666245693952</v>
      </c>
      <c r="I27" s="46"/>
    </row>
    <row r="28" spans="1:9">
      <c r="A28" s="160"/>
      <c r="B28" s="160"/>
      <c r="I28" s="46"/>
    </row>
    <row r="29" spans="1:9" ht="12.75" customHeight="1">
      <c r="A29" s="160"/>
      <c r="B29" s="160"/>
      <c r="C29" s="382" t="s">
        <v>185</v>
      </c>
      <c r="D29" s="383"/>
      <c r="E29" s="209">
        <f>SUM(E24:E27)</f>
        <v>380675.56154901208</v>
      </c>
      <c r="I29" s="46"/>
    </row>
    <row r="30" spans="1:9">
      <c r="A30" s="160"/>
      <c r="B30" s="160"/>
      <c r="I30" s="46"/>
    </row>
    <row r="31" spans="1:9" ht="25.5">
      <c r="A31" s="175" t="s">
        <v>148</v>
      </c>
      <c r="B31" s="160"/>
      <c r="I31" s="46"/>
    </row>
    <row r="32" spans="1:9" s="45" customFormat="1">
      <c r="A32" s="385" t="s">
        <v>30</v>
      </c>
      <c r="B32" s="386" t="s">
        <v>22</v>
      </c>
      <c r="C32" s="303" t="s">
        <v>91</v>
      </c>
      <c r="D32" s="301" t="s">
        <v>86</v>
      </c>
      <c r="E32" s="303" t="s">
        <v>75</v>
      </c>
    </row>
    <row r="33" spans="1:10" s="45" customFormat="1">
      <c r="A33" s="385"/>
      <c r="B33" s="387"/>
      <c r="C33" s="298" t="s">
        <v>300</v>
      </c>
      <c r="D33" s="296" t="s">
        <v>300</v>
      </c>
      <c r="E33" s="298" t="s">
        <v>176</v>
      </c>
    </row>
    <row r="34" spans="1:10" s="45" customFormat="1">
      <c r="A34" s="42" t="s">
        <v>92</v>
      </c>
      <c r="B34" s="304">
        <f>SUM(E10:E13)</f>
        <v>9</v>
      </c>
      <c r="C34" s="284">
        <f>'Plan9-AuxiliarEncargos'!F16</f>
        <v>30</v>
      </c>
      <c r="D34" s="305">
        <f t="shared" ref="D34:D38" si="5">B34*C34</f>
        <v>270</v>
      </c>
      <c r="E34" s="305">
        <f>12*D34</f>
        <v>3240</v>
      </c>
    </row>
    <row r="35" spans="1:10" s="45" customFormat="1" ht="25.5">
      <c r="A35" s="41" t="s">
        <v>93</v>
      </c>
      <c r="B35" s="42">
        <f>B34</f>
        <v>9</v>
      </c>
      <c r="C35" s="134">
        <v>12</v>
      </c>
      <c r="D35" s="37">
        <f t="shared" si="5"/>
        <v>108</v>
      </c>
      <c r="E35" s="37">
        <f t="shared" ref="E35:E38" si="6">12*D35</f>
        <v>1296</v>
      </c>
    </row>
    <row r="36" spans="1:10" s="45" customFormat="1">
      <c r="A36" s="42" t="s">
        <v>94</v>
      </c>
      <c r="B36" s="42">
        <f>B35</f>
        <v>9</v>
      </c>
      <c r="C36" s="134">
        <f>'Plan9-AuxiliarEncargos'!F18</f>
        <v>749.33</v>
      </c>
      <c r="D36" s="37">
        <f t="shared" si="5"/>
        <v>6743.97</v>
      </c>
      <c r="E36" s="37">
        <f t="shared" si="6"/>
        <v>80927.64</v>
      </c>
    </row>
    <row r="37" spans="1:10" s="45" customFormat="1">
      <c r="A37" s="42" t="s">
        <v>95</v>
      </c>
      <c r="B37" s="42">
        <f>B36</f>
        <v>9</v>
      </c>
      <c r="C37" s="134">
        <f>'Plan9-AuxiliarEncargos'!F19</f>
        <v>74.11787015770939</v>
      </c>
      <c r="D37" s="37">
        <f t="shared" si="5"/>
        <v>667.0608314193845</v>
      </c>
      <c r="E37" s="37">
        <f t="shared" si="6"/>
        <v>8004.7299770326135</v>
      </c>
    </row>
    <row r="38" spans="1:10" s="45" customFormat="1">
      <c r="A38" s="42" t="s">
        <v>96</v>
      </c>
      <c r="B38" s="42">
        <f>B37</f>
        <v>9</v>
      </c>
      <c r="C38" s="134">
        <f>'Plan9-AuxiliarEncargos'!F17</f>
        <v>85.071503598223856</v>
      </c>
      <c r="D38" s="37">
        <f t="shared" si="5"/>
        <v>765.64353238401475</v>
      </c>
      <c r="E38" s="37">
        <f t="shared" si="6"/>
        <v>9187.7223886081774</v>
      </c>
    </row>
    <row r="39" spans="1:10" s="45" customFormat="1">
      <c r="A39" s="162"/>
      <c r="B39" s="56"/>
      <c r="E39" s="51"/>
    </row>
    <row r="40" spans="1:10" s="45" customFormat="1" ht="24" customHeight="1">
      <c r="A40" s="162"/>
      <c r="B40" s="56"/>
      <c r="C40" s="388" t="s">
        <v>174</v>
      </c>
      <c r="D40" s="389"/>
      <c r="E40" s="210">
        <f>SUM(E34:E38)</f>
        <v>102656.0923656408</v>
      </c>
    </row>
    <row r="41" spans="1:10" s="45" customFormat="1">
      <c r="A41" s="162"/>
      <c r="B41" s="56"/>
      <c r="E41" s="51"/>
    </row>
    <row r="42" spans="1:10" s="45" customFormat="1" ht="43.5" customHeight="1">
      <c r="A42" s="175" t="s">
        <v>186</v>
      </c>
      <c r="B42" s="56"/>
    </row>
    <row r="43" spans="1:10" s="45" customFormat="1">
      <c r="A43" s="386" t="s">
        <v>30</v>
      </c>
      <c r="B43" s="386" t="s">
        <v>22</v>
      </c>
      <c r="C43" s="303" t="s">
        <v>91</v>
      </c>
      <c r="D43" s="301" t="s">
        <v>86</v>
      </c>
      <c r="E43" s="303" t="s">
        <v>75</v>
      </c>
    </row>
    <row r="44" spans="1:10" s="45" customFormat="1">
      <c r="A44" s="387"/>
      <c r="B44" s="387"/>
      <c r="C44" s="298" t="s">
        <v>309</v>
      </c>
      <c r="D44" s="296" t="s">
        <v>309</v>
      </c>
      <c r="E44" s="298" t="s">
        <v>176</v>
      </c>
    </row>
    <row r="45" spans="1:10" s="45" customFormat="1">
      <c r="A45" s="42" t="s">
        <v>100</v>
      </c>
      <c r="B45" s="304">
        <v>20</v>
      </c>
      <c r="C45" s="290">
        <v>390.99766666666665</v>
      </c>
      <c r="D45" s="306">
        <f t="shared" ref="D45:D50" si="7">B45*C45</f>
        <v>7819.9533333333329</v>
      </c>
      <c r="E45" s="306">
        <f>12*D45</f>
        <v>93839.44</v>
      </c>
      <c r="G45" s="51"/>
    </row>
    <row r="46" spans="1:10" s="45" customFormat="1">
      <c r="A46" s="42" t="s">
        <v>101</v>
      </c>
      <c r="B46" s="44">
        <v>1</v>
      </c>
      <c r="C46" s="135">
        <v>210</v>
      </c>
      <c r="D46" s="53">
        <f t="shared" si="7"/>
        <v>210</v>
      </c>
      <c r="E46" s="53">
        <f t="shared" ref="E46:E50" si="8">12*D46</f>
        <v>2520</v>
      </c>
      <c r="G46" s="51"/>
    </row>
    <row r="47" spans="1:10" s="45" customFormat="1" ht="32.25" customHeight="1">
      <c r="A47" s="41" t="s">
        <v>102</v>
      </c>
      <c r="B47" s="44">
        <v>1</v>
      </c>
      <c r="C47" s="135">
        <v>590</v>
      </c>
      <c r="D47" s="53">
        <f t="shared" si="7"/>
        <v>590</v>
      </c>
      <c r="E47" s="53">
        <f t="shared" si="8"/>
        <v>7080</v>
      </c>
      <c r="G47" s="51"/>
    </row>
    <row r="48" spans="1:10" s="45" customFormat="1">
      <c r="A48" s="42" t="s">
        <v>103</v>
      </c>
      <c r="B48" s="42">
        <v>1</v>
      </c>
      <c r="C48" s="135">
        <v>1870</v>
      </c>
      <c r="D48" s="54">
        <f t="shared" si="7"/>
        <v>1870</v>
      </c>
      <c r="E48" s="53">
        <f t="shared" si="8"/>
        <v>22440</v>
      </c>
      <c r="F48" s="55"/>
      <c r="G48" s="51"/>
      <c r="H48" s="56"/>
      <c r="I48" s="56"/>
      <c r="J48" s="56"/>
    </row>
    <row r="49" spans="1:10" s="45" customFormat="1">
      <c r="A49" s="42" t="s">
        <v>104</v>
      </c>
      <c r="B49" s="42">
        <v>1</v>
      </c>
      <c r="C49" s="135">
        <v>1520</v>
      </c>
      <c r="D49" s="54">
        <f t="shared" si="7"/>
        <v>1520</v>
      </c>
      <c r="E49" s="53">
        <f t="shared" si="8"/>
        <v>18240</v>
      </c>
      <c r="F49" s="56"/>
      <c r="G49" s="51"/>
      <c r="H49" s="56"/>
      <c r="I49" s="56"/>
      <c r="J49" s="56"/>
    </row>
    <row r="50" spans="1:10" s="45" customFormat="1">
      <c r="A50" s="42" t="s">
        <v>127</v>
      </c>
      <c r="B50" s="42">
        <v>1</v>
      </c>
      <c r="C50" s="135">
        <v>8800</v>
      </c>
      <c r="D50" s="54">
        <f t="shared" si="7"/>
        <v>8800</v>
      </c>
      <c r="E50" s="53">
        <f t="shared" si="8"/>
        <v>105600</v>
      </c>
      <c r="F50" s="56"/>
      <c r="G50" s="51"/>
      <c r="H50" s="56"/>
      <c r="I50" s="56"/>
      <c r="J50" s="56"/>
    </row>
    <row r="51" spans="1:10" s="45" customFormat="1">
      <c r="A51" s="163"/>
      <c r="B51" s="57"/>
      <c r="C51" s="57"/>
      <c r="D51" s="57"/>
      <c r="E51" s="58"/>
    </row>
    <row r="52" spans="1:10" s="45" customFormat="1" ht="27" customHeight="1">
      <c r="A52" s="163"/>
      <c r="B52" s="57"/>
      <c r="C52" s="390" t="s">
        <v>266</v>
      </c>
      <c r="D52" s="391"/>
      <c r="E52" s="210">
        <f>SUM(E45:E50)</f>
        <v>249719.44</v>
      </c>
    </row>
    <row r="53" spans="1:10" s="45" customFormat="1">
      <c r="A53" s="176"/>
      <c r="D53" s="51"/>
    </row>
    <row r="54" spans="1:10" s="45" customFormat="1" ht="45" customHeight="1">
      <c r="A54" s="175" t="s">
        <v>149</v>
      </c>
      <c r="C54" s="59"/>
      <c r="D54" s="59"/>
    </row>
    <row r="55" spans="1:10" s="45" customFormat="1">
      <c r="A55" s="386" t="s">
        <v>30</v>
      </c>
      <c r="B55" s="380" t="s">
        <v>76</v>
      </c>
      <c r="C55" s="303" t="s">
        <v>91</v>
      </c>
      <c r="D55" s="301" t="s">
        <v>86</v>
      </c>
      <c r="E55" s="303" t="s">
        <v>75</v>
      </c>
    </row>
    <row r="56" spans="1:10" s="45" customFormat="1">
      <c r="A56" s="387"/>
      <c r="B56" s="381"/>
      <c r="C56" s="298" t="s">
        <v>309</v>
      </c>
      <c r="D56" s="296" t="s">
        <v>309</v>
      </c>
      <c r="E56" s="298" t="s">
        <v>176</v>
      </c>
    </row>
    <row r="57" spans="1:10" s="45" customFormat="1">
      <c r="A57" s="42" t="s">
        <v>97</v>
      </c>
      <c r="B57" s="307">
        <v>1</v>
      </c>
      <c r="C57" s="290">
        <v>280</v>
      </c>
      <c r="D57" s="306">
        <f>B57*C57</f>
        <v>280</v>
      </c>
      <c r="E57" s="306">
        <f>12*D57</f>
        <v>3360</v>
      </c>
      <c r="G57" s="51"/>
    </row>
    <row r="58" spans="1:10" s="45" customFormat="1">
      <c r="A58" s="42" t="s">
        <v>98</v>
      </c>
      <c r="B58" s="44">
        <v>1</v>
      </c>
      <c r="C58" s="135">
        <v>210</v>
      </c>
      <c r="D58" s="53">
        <f>B58*C58</f>
        <v>210</v>
      </c>
      <c r="E58" s="53">
        <f t="shared" ref="E58:E59" si="9">12*D58</f>
        <v>2520</v>
      </c>
      <c r="G58" s="51"/>
    </row>
    <row r="59" spans="1:10" s="45" customFormat="1">
      <c r="A59" s="42" t="s">
        <v>99</v>
      </c>
      <c r="B59" s="44">
        <v>1</v>
      </c>
      <c r="C59" s="135">
        <v>235</v>
      </c>
      <c r="D59" s="48">
        <f>B59*C59</f>
        <v>235</v>
      </c>
      <c r="E59" s="53">
        <f t="shared" si="9"/>
        <v>2820</v>
      </c>
      <c r="G59" s="51"/>
    </row>
    <row r="60" spans="1:10" s="45" customFormat="1">
      <c r="A60" s="162" t="s">
        <v>150</v>
      </c>
      <c r="D60" s="51"/>
    </row>
    <row r="61" spans="1:10" s="45" customFormat="1" ht="24.6" customHeight="1">
      <c r="A61" s="56"/>
      <c r="C61" s="382" t="s">
        <v>228</v>
      </c>
      <c r="D61" s="383"/>
      <c r="E61" s="210">
        <f>SUM(E57:E59)</f>
        <v>8700</v>
      </c>
    </row>
    <row r="62" spans="1:10" s="45" customFormat="1">
      <c r="A62" s="56"/>
      <c r="D62" s="60"/>
      <c r="E62" s="52"/>
    </row>
    <row r="63" spans="1:10" s="45" customFormat="1" ht="77.25" customHeight="1">
      <c r="A63" s="175" t="s">
        <v>151</v>
      </c>
      <c r="B63" s="61"/>
      <c r="C63" s="61"/>
      <c r="D63" s="61"/>
    </row>
    <row r="64" spans="1:10">
      <c r="A64" s="378" t="s">
        <v>89</v>
      </c>
      <c r="B64" s="380" t="s">
        <v>263</v>
      </c>
      <c r="C64" s="303" t="s">
        <v>91</v>
      </c>
      <c r="D64" s="301" t="s">
        <v>86</v>
      </c>
      <c r="E64" s="303" t="s">
        <v>75</v>
      </c>
    </row>
    <row r="65" spans="1:5">
      <c r="A65" s="379"/>
      <c r="B65" s="381"/>
      <c r="C65" s="298" t="s">
        <v>309</v>
      </c>
      <c r="D65" s="296" t="s">
        <v>309</v>
      </c>
      <c r="E65" s="298" t="s">
        <v>176</v>
      </c>
    </row>
    <row r="66" spans="1:5" ht="31.5" customHeight="1">
      <c r="A66" s="237" t="s">
        <v>260</v>
      </c>
      <c r="B66" s="308">
        <v>2</v>
      </c>
      <c r="C66" s="309">
        <v>25083.5</v>
      </c>
      <c r="D66" s="310">
        <f>B66*C66</f>
        <v>50167</v>
      </c>
      <c r="E66" s="306">
        <f>12*D66</f>
        <v>602004</v>
      </c>
    </row>
    <row r="67" spans="1:5" ht="30" customHeight="1">
      <c r="A67" s="237" t="s">
        <v>261</v>
      </c>
      <c r="B67" s="62">
        <v>1</v>
      </c>
      <c r="C67" s="136">
        <f>C66</f>
        <v>25083.5</v>
      </c>
      <c r="D67" s="63">
        <f t="shared" ref="D67:D68" si="10">B67*C67</f>
        <v>25083.5</v>
      </c>
      <c r="E67" s="53">
        <f t="shared" ref="E67:E68" si="11">12*D67</f>
        <v>301002</v>
      </c>
    </row>
    <row r="68" spans="1:5" ht="31.5" customHeight="1">
      <c r="A68" s="237" t="s">
        <v>262</v>
      </c>
      <c r="B68" s="62">
        <v>2</v>
      </c>
      <c r="C68" s="136">
        <f>C67</f>
        <v>25083.5</v>
      </c>
      <c r="D68" s="63">
        <f t="shared" si="10"/>
        <v>50167</v>
      </c>
      <c r="E68" s="53">
        <f t="shared" si="11"/>
        <v>602004</v>
      </c>
    </row>
    <row r="69" spans="1:5" ht="15" customHeight="1">
      <c r="A69" s="164"/>
      <c r="B69" s="61"/>
      <c r="C69" s="64"/>
      <c r="D69" s="64"/>
    </row>
    <row r="70" spans="1:5" ht="26.25" customHeight="1">
      <c r="A70" s="164"/>
      <c r="B70" s="61"/>
      <c r="C70" s="382" t="s">
        <v>229</v>
      </c>
      <c r="D70" s="383"/>
      <c r="E70" s="210">
        <f>SUM(E66:E68)</f>
        <v>1505010</v>
      </c>
    </row>
    <row r="71" spans="1:5">
      <c r="A71" s="164"/>
      <c r="B71" s="61"/>
      <c r="C71" s="165"/>
      <c r="D71" s="165"/>
      <c r="E71" s="52"/>
    </row>
    <row r="72" spans="1:5">
      <c r="A72" s="160"/>
      <c r="C72" s="160"/>
      <c r="D72" s="160"/>
    </row>
    <row r="73" spans="1:5" ht="34.9" customHeight="1">
      <c r="A73" s="160"/>
      <c r="C73" s="382" t="s">
        <v>152</v>
      </c>
      <c r="D73" s="383"/>
      <c r="E73" s="209">
        <f>+E70+E61+E52+E40+E29</f>
        <v>2246761.0939146527</v>
      </c>
    </row>
    <row r="74" spans="1:5">
      <c r="A74" s="160"/>
    </row>
    <row r="75" spans="1:5" ht="26.45" customHeight="1">
      <c r="A75" s="376"/>
      <c r="B75" s="376"/>
      <c r="C75" s="376"/>
      <c r="D75" s="376"/>
    </row>
    <row r="76" spans="1:5" ht="26.45" customHeight="1">
      <c r="A76" s="175"/>
      <c r="B76" s="175"/>
    </row>
    <row r="77" spans="1:5" ht="26.45" customHeight="1">
      <c r="A77" s="376"/>
      <c r="B77" s="377"/>
      <c r="C77" s="377"/>
      <c r="D77" s="377"/>
    </row>
    <row r="78" spans="1:5">
      <c r="A78" s="160"/>
    </row>
  </sheetData>
  <sheetProtection algorithmName="SHA-512" hashValue="gcp97ku2kmJZhYg/LU+0N7mhzLjZIyceCC6Ro2T+SWUW/BDWqhQy2WhDP94etREkvKAf4NiEagx5zE9DXDQadA==" saltValue="SDv2bkxgUm/xRFOCtme2OQ==" spinCount="100000" sheet="1" objects="1" scenarios="1"/>
  <customSheetViews>
    <customSheetView guid="{B8BA5BCE-F393-4B11-B2A4-25A7A54F3B8C}" scale="90" showGridLines="0">
      <selection activeCell="D62" sqref="D62"/>
      <pageMargins left="0.511811024" right="0.511811024" top="0.78740157499999996" bottom="0.78740157499999996" header="0.31496062000000002" footer="0.31496062000000002"/>
      <pageSetup paperSize="9" orientation="portrait" horizontalDpi="0" verticalDpi="0" r:id="rId1"/>
    </customSheetView>
  </customSheetViews>
  <mergeCells count="20">
    <mergeCell ref="A5:C5"/>
    <mergeCell ref="C61:D61"/>
    <mergeCell ref="A15:A16"/>
    <mergeCell ref="A22:A23"/>
    <mergeCell ref="B22:B23"/>
    <mergeCell ref="C29:D29"/>
    <mergeCell ref="C40:D40"/>
    <mergeCell ref="A32:A33"/>
    <mergeCell ref="B32:B33"/>
    <mergeCell ref="A55:A56"/>
    <mergeCell ref="B55:B56"/>
    <mergeCell ref="A43:A44"/>
    <mergeCell ref="B43:B44"/>
    <mergeCell ref="C52:D52"/>
    <mergeCell ref="A77:D77"/>
    <mergeCell ref="A75:D75"/>
    <mergeCell ref="A64:A65"/>
    <mergeCell ref="B64:B65"/>
    <mergeCell ref="C73:D73"/>
    <mergeCell ref="C70:D70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view="pageBreakPreview" topLeftCell="A20" zoomScale="115" zoomScaleNormal="70" zoomScaleSheetLayoutView="115" workbookViewId="0">
      <selection activeCell="B31" sqref="B31:C31"/>
    </sheetView>
  </sheetViews>
  <sheetFormatPr defaultRowHeight="14.25"/>
  <cols>
    <col min="1" max="1" width="28.375" customWidth="1"/>
    <col min="2" max="2" width="12" customWidth="1"/>
    <col min="3" max="3" width="14" customWidth="1"/>
    <col min="4" max="4" width="21.375" customWidth="1"/>
    <col min="5" max="5" width="17.25" bestFit="1" customWidth="1"/>
  </cols>
  <sheetData>
    <row r="1" spans="1:5">
      <c r="A1" s="1" t="s">
        <v>244</v>
      </c>
      <c r="B1" s="27"/>
      <c r="C1" s="27"/>
    </row>
    <row r="2" spans="1:5">
      <c r="A2" s="423" t="s">
        <v>242</v>
      </c>
      <c r="B2" s="27"/>
      <c r="C2" s="27"/>
    </row>
    <row r="5" spans="1:5" s="343" customFormat="1">
      <c r="A5" s="341" t="s">
        <v>274</v>
      </c>
      <c r="B5" s="342"/>
    </row>
    <row r="6" spans="1:5">
      <c r="A6" s="166"/>
      <c r="B6" s="166"/>
    </row>
    <row r="7" spans="1:5" ht="26.45" customHeight="1">
      <c r="A7" s="392" t="s">
        <v>187</v>
      </c>
      <c r="B7" s="392"/>
      <c r="C7" s="392"/>
      <c r="D7" s="65"/>
      <c r="E7" s="65"/>
    </row>
    <row r="8" spans="1:5" ht="25.5">
      <c r="A8" s="161" t="s">
        <v>30</v>
      </c>
      <c r="B8" s="161" t="s">
        <v>231</v>
      </c>
      <c r="C8" s="40" t="s">
        <v>81</v>
      </c>
      <c r="D8" s="40" t="s">
        <v>321</v>
      </c>
      <c r="E8" s="40" t="s">
        <v>82</v>
      </c>
    </row>
    <row r="9" spans="1:5" ht="30.75" customHeight="1">
      <c r="A9" s="41" t="s">
        <v>230</v>
      </c>
      <c r="B9" s="41">
        <v>6</v>
      </c>
      <c r="C9" s="106">
        <v>3</v>
      </c>
      <c r="D9" s="107">
        <f>'Plan9-AuxiliarEncargos'!B33</f>
        <v>0.1709090909090909</v>
      </c>
      <c r="E9" s="98">
        <f>IF(D9&gt;0,ROUNDUP(B9*C9*(1+D9),0),B9*C9)</f>
        <v>22</v>
      </c>
    </row>
    <row r="10" spans="1:5">
      <c r="A10" s="160"/>
      <c r="B10" s="160"/>
      <c r="C10" s="65"/>
      <c r="D10" s="65"/>
      <c r="E10" s="65"/>
    </row>
    <row r="11" spans="1:5" ht="27" customHeight="1">
      <c r="A11" s="385" t="s">
        <v>30</v>
      </c>
      <c r="B11" s="293" t="s">
        <v>85</v>
      </c>
      <c r="C11" s="249" t="s">
        <v>68</v>
      </c>
      <c r="D11" s="314" t="s">
        <v>91</v>
      </c>
      <c r="E11" s="65"/>
    </row>
    <row r="12" spans="1:5">
      <c r="A12" s="385"/>
      <c r="B12" s="302" t="s">
        <v>300</v>
      </c>
      <c r="C12" s="250" t="s">
        <v>311</v>
      </c>
      <c r="D12" s="316" t="s">
        <v>300</v>
      </c>
      <c r="E12" s="65"/>
    </row>
    <row r="13" spans="1:5">
      <c r="A13" s="41" t="s">
        <v>153</v>
      </c>
      <c r="B13" s="290">
        <v>3096.7015200000001</v>
      </c>
      <c r="C13" s="311">
        <f>'Plan9-AuxiliarEncargos'!B36</f>
        <v>0.64224320000000001</v>
      </c>
      <c r="D13" s="312">
        <f>(1+C13)*B13</f>
        <v>5085.537013649664</v>
      </c>
      <c r="E13" s="65"/>
    </row>
    <row r="14" spans="1:5">
      <c r="A14" s="160"/>
      <c r="B14" s="160"/>
      <c r="C14" s="65"/>
      <c r="D14" s="65"/>
      <c r="E14" s="65"/>
    </row>
    <row r="15" spans="1:5">
      <c r="A15" s="385" t="s">
        <v>30</v>
      </c>
      <c r="B15" s="386" t="s">
        <v>232</v>
      </c>
      <c r="C15" s="249" t="s">
        <v>91</v>
      </c>
      <c r="D15" s="249" t="s">
        <v>8</v>
      </c>
      <c r="E15" s="314" t="s">
        <v>8</v>
      </c>
    </row>
    <row r="16" spans="1:5">
      <c r="A16" s="385"/>
      <c r="B16" s="387"/>
      <c r="C16" s="250" t="s">
        <v>300</v>
      </c>
      <c r="D16" s="250" t="s">
        <v>300</v>
      </c>
      <c r="E16" s="316" t="s">
        <v>176</v>
      </c>
    </row>
    <row r="17" spans="1:5">
      <c r="A17" s="41" t="s">
        <v>153</v>
      </c>
      <c r="B17" s="299">
        <f>E9</f>
        <v>22</v>
      </c>
      <c r="C17" s="317">
        <f>D13</f>
        <v>5085.537013649664</v>
      </c>
      <c r="D17" s="317">
        <f t="shared" ref="D17" si="0">B17*C17</f>
        <v>111881.81430029261</v>
      </c>
      <c r="E17" s="317">
        <f t="shared" ref="E17" si="1">12*D17</f>
        <v>1342581.7716035112</v>
      </c>
    </row>
    <row r="18" spans="1:5">
      <c r="A18" s="160"/>
      <c r="B18" s="160"/>
      <c r="C18" s="65"/>
      <c r="D18" s="65"/>
      <c r="E18" s="65"/>
    </row>
    <row r="19" spans="1:5" ht="24.75" customHeight="1">
      <c r="A19" s="160"/>
      <c r="B19" s="160"/>
      <c r="C19" s="394" t="s">
        <v>235</v>
      </c>
      <c r="D19" s="395"/>
      <c r="E19" s="211">
        <f>E17</f>
        <v>1342581.7716035112</v>
      </c>
    </row>
    <row r="20" spans="1:5">
      <c r="A20" s="160"/>
      <c r="B20" s="160"/>
      <c r="C20" s="65"/>
      <c r="D20" s="65"/>
      <c r="E20" s="65"/>
    </row>
    <row r="21" spans="1:5" ht="39.6" customHeight="1">
      <c r="A21" s="392" t="s">
        <v>188</v>
      </c>
      <c r="B21" s="393"/>
      <c r="C21" s="393"/>
      <c r="D21" s="393"/>
      <c r="E21" s="65"/>
    </row>
    <row r="22" spans="1:5">
      <c r="A22" s="385" t="s">
        <v>30</v>
      </c>
      <c r="B22" s="386" t="s">
        <v>234</v>
      </c>
      <c r="C22" s="249" t="s">
        <v>91</v>
      </c>
      <c r="D22" s="249" t="s">
        <v>8</v>
      </c>
      <c r="E22" s="249" t="s">
        <v>8</v>
      </c>
    </row>
    <row r="23" spans="1:5">
      <c r="A23" s="385"/>
      <c r="B23" s="387"/>
      <c r="C23" s="250" t="s">
        <v>300</v>
      </c>
      <c r="D23" s="250" t="s">
        <v>300</v>
      </c>
      <c r="E23" s="250" t="s">
        <v>176</v>
      </c>
    </row>
    <row r="24" spans="1:5" ht="60.75" customHeight="1">
      <c r="A24" s="41" t="s">
        <v>154</v>
      </c>
      <c r="B24" s="304">
        <f>B9</f>
        <v>6</v>
      </c>
      <c r="C24" s="319">
        <v>500</v>
      </c>
      <c r="D24" s="318">
        <f t="shared" ref="D24" si="2">B24*C24</f>
        <v>3000</v>
      </c>
      <c r="E24" s="318">
        <f t="shared" ref="E24" si="3">12*D24</f>
        <v>36000</v>
      </c>
    </row>
    <row r="25" spans="1:5">
      <c r="A25" s="162"/>
      <c r="B25" s="56"/>
      <c r="C25" s="105"/>
      <c r="D25" s="105"/>
      <c r="E25" s="99"/>
    </row>
    <row r="26" spans="1:5" ht="22.5" customHeight="1">
      <c r="A26" s="162"/>
      <c r="B26" s="56"/>
      <c r="C26" s="394" t="s">
        <v>236</v>
      </c>
      <c r="D26" s="395"/>
      <c r="E26" s="212">
        <f>E24</f>
        <v>36000</v>
      </c>
    </row>
    <row r="27" spans="1:5">
      <c r="A27" s="162"/>
      <c r="B27" s="56"/>
      <c r="C27" s="105"/>
      <c r="D27" s="105"/>
      <c r="E27" s="99"/>
    </row>
    <row r="28" spans="1:5" ht="26.25" customHeight="1">
      <c r="A28" s="400" t="s">
        <v>189</v>
      </c>
      <c r="B28" s="400"/>
      <c r="C28" s="401"/>
      <c r="D28" s="401"/>
      <c r="E28" s="105"/>
    </row>
    <row r="29" spans="1:5">
      <c r="A29" s="396" t="s">
        <v>30</v>
      </c>
      <c r="B29" s="386" t="s">
        <v>233</v>
      </c>
      <c r="C29" s="249" t="s">
        <v>91</v>
      </c>
      <c r="D29" s="313" t="s">
        <v>8</v>
      </c>
      <c r="E29" s="249" t="s">
        <v>8</v>
      </c>
    </row>
    <row r="30" spans="1:5">
      <c r="A30" s="397"/>
      <c r="B30" s="387"/>
      <c r="C30" s="250" t="s">
        <v>309</v>
      </c>
      <c r="D30" s="315" t="s">
        <v>309</v>
      </c>
      <c r="E30" s="250" t="s">
        <v>176</v>
      </c>
    </row>
    <row r="31" spans="1:5" ht="53.25" customHeight="1">
      <c r="A31" s="41" t="s">
        <v>155</v>
      </c>
      <c r="B31" s="42">
        <v>6</v>
      </c>
      <c r="C31" s="290">
        <v>1500</v>
      </c>
      <c r="D31" s="321">
        <f>B31*C31</f>
        <v>9000</v>
      </c>
      <c r="E31" s="320">
        <f>12*D31</f>
        <v>108000</v>
      </c>
    </row>
    <row r="32" spans="1:5">
      <c r="A32" s="50"/>
      <c r="B32" s="105"/>
      <c r="C32" s="105"/>
      <c r="D32" s="99"/>
      <c r="E32" s="105"/>
    </row>
    <row r="33" spans="1:7" ht="79.150000000000006" customHeight="1">
      <c r="A33" s="105"/>
      <c r="B33" s="105"/>
      <c r="C33" s="394" t="s">
        <v>267</v>
      </c>
      <c r="D33" s="395"/>
      <c r="E33" s="212">
        <f>SUM(E31:E31)</f>
        <v>108000</v>
      </c>
    </row>
    <row r="34" spans="1:7">
      <c r="A34" s="105"/>
      <c r="B34" s="105"/>
      <c r="C34" s="105"/>
      <c r="D34" s="100"/>
      <c r="E34" s="101"/>
    </row>
    <row r="35" spans="1:7">
      <c r="A35" s="65"/>
      <c r="B35" s="65"/>
      <c r="C35" s="398" t="s">
        <v>190</v>
      </c>
      <c r="D35" s="399"/>
      <c r="E35" s="211">
        <f>SUM(E19,E26,E33)</f>
        <v>1486581.7716035112</v>
      </c>
    </row>
    <row r="37" spans="1:7" ht="15">
      <c r="B37" s="186"/>
      <c r="C37" s="186"/>
      <c r="D37" s="186"/>
      <c r="E37" s="186"/>
      <c r="F37" s="186"/>
      <c r="G37" s="186"/>
    </row>
  </sheetData>
  <sheetProtection algorithmName="SHA-512" hashValue="6g0tKhIp5yTAgFdhHWVVPwnGI7Ak4217vVKnWOJz1Q5tzb3LDxGPtLAKFHKu96ryqHOzKXEf69GGyL4f082+XA==" saltValue="fs90U7iwytjSJJAr8YwFlw==" spinCount="100000" sheet="1" objects="1" scenarios="1"/>
  <customSheetViews>
    <customSheetView guid="{B8BA5BCE-F393-4B11-B2A4-25A7A54F3B8C}" showGridLines="0">
      <selection activeCell="A2" sqref="A2"/>
      <pageMargins left="0.511811024" right="0.511811024" top="0.78740157499999996" bottom="0.78740157499999996" header="0.31496062000000002" footer="0.31496062000000002"/>
    </customSheetView>
  </customSheetViews>
  <mergeCells count="14">
    <mergeCell ref="C35:D35"/>
    <mergeCell ref="A11:A12"/>
    <mergeCell ref="A15:A16"/>
    <mergeCell ref="B15:B16"/>
    <mergeCell ref="C19:D19"/>
    <mergeCell ref="A22:A23"/>
    <mergeCell ref="B22:B23"/>
    <mergeCell ref="C33:D33"/>
    <mergeCell ref="A28:D28"/>
    <mergeCell ref="A7:C7"/>
    <mergeCell ref="A21:D21"/>
    <mergeCell ref="C26:D26"/>
    <mergeCell ref="A29:A30"/>
    <mergeCell ref="B29:B30"/>
  </mergeCells>
  <pageMargins left="0.511811024" right="0.511811024" top="0.78740157499999996" bottom="0.78740157499999996" header="0.31496062000000002" footer="0.31496062000000002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"/>
  <sheetViews>
    <sheetView showGridLines="0" view="pageBreakPreview" zoomScale="140" zoomScaleNormal="100" zoomScaleSheetLayoutView="140" workbookViewId="0">
      <selection activeCell="A5" sqref="A5"/>
    </sheetView>
  </sheetViews>
  <sheetFormatPr defaultRowHeight="14.25"/>
  <cols>
    <col min="1" max="1" width="17.75" customWidth="1"/>
    <col min="2" max="2" width="17.625" customWidth="1"/>
    <col min="3" max="3" width="16.125" bestFit="1" customWidth="1"/>
    <col min="4" max="4" width="2.75" customWidth="1"/>
    <col min="5" max="5" width="16.375" customWidth="1"/>
    <col min="6" max="20" width="10.875" bestFit="1" customWidth="1"/>
    <col min="27" max="27" width="11.625" customWidth="1"/>
    <col min="28" max="28" width="12.375" bestFit="1" customWidth="1"/>
  </cols>
  <sheetData>
    <row r="1" spans="1:28">
      <c r="A1" s="1" t="s">
        <v>244</v>
      </c>
      <c r="B1" s="27"/>
      <c r="E1" s="1"/>
      <c r="F1" s="27"/>
      <c r="G1" s="27"/>
    </row>
    <row r="2" spans="1:28">
      <c r="A2" s="423" t="s">
        <v>242</v>
      </c>
      <c r="B2" s="27"/>
      <c r="E2" s="26"/>
      <c r="F2" s="27"/>
      <c r="G2" s="27"/>
    </row>
    <row r="5" spans="1:28" s="343" customFormat="1" ht="15">
      <c r="A5" s="341" t="s">
        <v>275</v>
      </c>
      <c r="B5" s="342"/>
      <c r="C5" s="342"/>
      <c r="D5" s="342"/>
      <c r="E5" s="344"/>
    </row>
    <row r="6" spans="1:28">
      <c r="A6" s="166"/>
      <c r="B6" s="166"/>
      <c r="C6" s="166"/>
      <c r="D6" s="166"/>
      <c r="E6" s="166"/>
    </row>
    <row r="7" spans="1:28" ht="15" thickBot="1">
      <c r="A7" s="153"/>
      <c r="B7" s="153"/>
      <c r="C7" s="153"/>
      <c r="D7" s="153"/>
      <c r="E7" s="152" t="s">
        <v>253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28" ht="15" thickBot="1">
      <c r="A8" s="227" t="s">
        <v>30</v>
      </c>
      <c r="B8" s="228" t="s">
        <v>136</v>
      </c>
      <c r="C8" s="345" t="s">
        <v>312</v>
      </c>
      <c r="D8" s="153"/>
      <c r="E8" s="153"/>
      <c r="F8" s="32">
        <v>1</v>
      </c>
      <c r="G8" s="32">
        <v>2</v>
      </c>
      <c r="H8" s="32">
        <v>3</v>
      </c>
      <c r="I8" s="32">
        <v>4</v>
      </c>
      <c r="J8" s="32">
        <v>5</v>
      </c>
      <c r="K8" s="32">
        <v>6</v>
      </c>
      <c r="L8" s="32">
        <v>7</v>
      </c>
      <c r="M8" s="32">
        <v>8</v>
      </c>
      <c r="N8" s="32">
        <v>9</v>
      </c>
      <c r="O8" s="32">
        <v>10</v>
      </c>
      <c r="P8" s="32">
        <v>11</v>
      </c>
      <c r="Q8" s="32">
        <v>12</v>
      </c>
      <c r="R8" s="32">
        <v>13</v>
      </c>
      <c r="S8" s="32">
        <v>14</v>
      </c>
      <c r="T8" s="32">
        <v>15</v>
      </c>
    </row>
    <row r="9" spans="1:28" ht="25.5">
      <c r="A9" s="229" t="s">
        <v>126</v>
      </c>
      <c r="B9" s="156">
        <f>'Plan2-CustosVariáveis'!F25+'Plan2-CustosVariáveis'!F36+'Plan2-CustosVariáveis'!F44+'Plan2-CustosVariáveis'!F56</f>
        <v>48100591.902115196</v>
      </c>
      <c r="C9" s="230">
        <f>B9/12</f>
        <v>4008382.6585095995</v>
      </c>
      <c r="D9" s="153"/>
      <c r="E9" s="213" t="s">
        <v>156</v>
      </c>
      <c r="F9" s="214">
        <f>'Plan1-FROTA KM DEM ANO1'!D11</f>
        <v>46633969.200000003</v>
      </c>
      <c r="G9" s="214">
        <f>$F$9</f>
        <v>46633969.200000003</v>
      </c>
      <c r="H9" s="214">
        <f t="shared" ref="H9:T9" si="0">$F$9</f>
        <v>46633969.200000003</v>
      </c>
      <c r="I9" s="214">
        <f t="shared" si="0"/>
        <v>46633969.200000003</v>
      </c>
      <c r="J9" s="214">
        <f t="shared" si="0"/>
        <v>46633969.200000003</v>
      </c>
      <c r="K9" s="214">
        <f t="shared" si="0"/>
        <v>46633969.200000003</v>
      </c>
      <c r="L9" s="214">
        <f t="shared" si="0"/>
        <v>46633969.200000003</v>
      </c>
      <c r="M9" s="214">
        <f t="shared" si="0"/>
        <v>46633969.200000003</v>
      </c>
      <c r="N9" s="214">
        <f t="shared" si="0"/>
        <v>46633969.200000003</v>
      </c>
      <c r="O9" s="214">
        <f t="shared" si="0"/>
        <v>46633969.200000003</v>
      </c>
      <c r="P9" s="214">
        <f t="shared" si="0"/>
        <v>46633969.200000003</v>
      </c>
      <c r="Q9" s="214">
        <f t="shared" si="0"/>
        <v>46633969.200000003</v>
      </c>
      <c r="R9" s="214">
        <f t="shared" si="0"/>
        <v>46633969.200000003</v>
      </c>
      <c r="S9" s="214">
        <f t="shared" si="0"/>
        <v>46633969.200000003</v>
      </c>
      <c r="T9" s="215">
        <f t="shared" si="0"/>
        <v>46633969.200000003</v>
      </c>
      <c r="AA9" s="188"/>
      <c r="AB9" s="193"/>
    </row>
    <row r="10" spans="1:28" ht="15">
      <c r="A10" s="229" t="s">
        <v>105</v>
      </c>
      <c r="B10" s="156">
        <f>'Plan3-CustosFixos'!E143</f>
        <v>80474324.42582798</v>
      </c>
      <c r="C10" s="230">
        <f t="shared" ref="C10:C13" si="1">B10/12</f>
        <v>6706193.7021523314</v>
      </c>
      <c r="D10" s="153"/>
      <c r="E10" s="216" t="s">
        <v>114</v>
      </c>
      <c r="F10" s="102">
        <f>F9*$F$16</f>
        <v>1454433.3334875242</v>
      </c>
      <c r="G10" s="102">
        <f t="shared" ref="G10:T10" si="2">G9*$F$16</f>
        <v>1454433.3334875242</v>
      </c>
      <c r="H10" s="102">
        <f t="shared" si="2"/>
        <v>1454433.3334875242</v>
      </c>
      <c r="I10" s="102">
        <f t="shared" si="2"/>
        <v>1454433.3334875242</v>
      </c>
      <c r="J10" s="102">
        <f t="shared" si="2"/>
        <v>1454433.3334875242</v>
      </c>
      <c r="K10" s="102">
        <f t="shared" si="2"/>
        <v>1454433.3334875242</v>
      </c>
      <c r="L10" s="102">
        <f t="shared" si="2"/>
        <v>1454433.3334875242</v>
      </c>
      <c r="M10" s="102">
        <f t="shared" si="2"/>
        <v>1454433.3334875242</v>
      </c>
      <c r="N10" s="102">
        <f t="shared" si="2"/>
        <v>1454433.3334875242</v>
      </c>
      <c r="O10" s="102">
        <f t="shared" si="2"/>
        <v>1454433.3334875242</v>
      </c>
      <c r="P10" s="102">
        <f t="shared" si="2"/>
        <v>1454433.3334875242</v>
      </c>
      <c r="Q10" s="102">
        <f t="shared" si="2"/>
        <v>1454433.3334875242</v>
      </c>
      <c r="R10" s="102">
        <f t="shared" si="2"/>
        <v>1454433.3334875242</v>
      </c>
      <c r="S10" s="102">
        <f t="shared" si="2"/>
        <v>1454433.3334875242</v>
      </c>
      <c r="T10" s="217">
        <f t="shared" si="2"/>
        <v>1454433.3334875242</v>
      </c>
      <c r="AA10" s="188"/>
      <c r="AB10" s="193"/>
    </row>
    <row r="11" spans="1:28" ht="15">
      <c r="A11" s="229" t="s">
        <v>106</v>
      </c>
      <c r="B11" s="156">
        <f>'Plan4-Custos SAP'!E32</f>
        <v>827686.54108717199</v>
      </c>
      <c r="C11" s="230">
        <f t="shared" si="1"/>
        <v>68973.878423931004</v>
      </c>
      <c r="D11" s="153"/>
      <c r="E11" s="216" t="s">
        <v>115</v>
      </c>
      <c r="F11" s="102">
        <f>C14</f>
        <v>11094662.14454571</v>
      </c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217"/>
      <c r="AA11" s="194"/>
      <c r="AB11" s="193"/>
    </row>
    <row r="12" spans="1:28" ht="15">
      <c r="A12" s="229" t="s">
        <v>248</v>
      </c>
      <c r="B12" s="156">
        <f>'Plan5-Garagens_EstaçãodeRecarga'!E73</f>
        <v>2246761.0939146527</v>
      </c>
      <c r="C12" s="230">
        <f t="shared" si="1"/>
        <v>187230.0911595544</v>
      </c>
      <c r="D12" s="153"/>
      <c r="E12" s="216" t="s">
        <v>157</v>
      </c>
      <c r="F12" s="102">
        <f>F10-F11</f>
        <v>-9640228.811058186</v>
      </c>
      <c r="G12" s="102">
        <f t="shared" ref="G12:T12" si="3">G10-G11</f>
        <v>1454433.3334875242</v>
      </c>
      <c r="H12" s="102">
        <f t="shared" si="3"/>
        <v>1454433.3334875242</v>
      </c>
      <c r="I12" s="102">
        <f t="shared" si="3"/>
        <v>1454433.3334875242</v>
      </c>
      <c r="J12" s="102">
        <f t="shared" si="3"/>
        <v>1454433.3334875242</v>
      </c>
      <c r="K12" s="102">
        <f t="shared" si="3"/>
        <v>1454433.3334875242</v>
      </c>
      <c r="L12" s="102">
        <f t="shared" si="3"/>
        <v>1454433.3334875242</v>
      </c>
      <c r="M12" s="102">
        <f t="shared" si="3"/>
        <v>1454433.3334875242</v>
      </c>
      <c r="N12" s="102">
        <f t="shared" si="3"/>
        <v>1454433.3334875242</v>
      </c>
      <c r="O12" s="102">
        <f t="shared" si="3"/>
        <v>1454433.3334875242</v>
      </c>
      <c r="P12" s="102">
        <f t="shared" si="3"/>
        <v>1454433.3334875242</v>
      </c>
      <c r="Q12" s="102">
        <f t="shared" si="3"/>
        <v>1454433.3334875242</v>
      </c>
      <c r="R12" s="102">
        <f t="shared" si="3"/>
        <v>1454433.3334875242</v>
      </c>
      <c r="S12" s="102">
        <f t="shared" si="3"/>
        <v>1454433.3334875242</v>
      </c>
      <c r="T12" s="217">
        <f t="shared" si="3"/>
        <v>1454433.3334875242</v>
      </c>
      <c r="AA12" s="188"/>
      <c r="AB12" s="193"/>
    </row>
    <row r="13" spans="1:28" ht="15.75" thickBot="1">
      <c r="A13" s="229" t="s">
        <v>125</v>
      </c>
      <c r="B13" s="156">
        <f>'Plan6-ControleOperacional'!E35</f>
        <v>1486581.7716035112</v>
      </c>
      <c r="C13" s="230">
        <f t="shared" si="1"/>
        <v>123881.81430029259</v>
      </c>
      <c r="D13" s="153"/>
      <c r="E13" s="218" t="s">
        <v>158</v>
      </c>
      <c r="F13" s="219">
        <f t="shared" ref="F13:T13" si="4">F12/(1+$F$15)^(F8-1)</f>
        <v>-9640228.811058186</v>
      </c>
      <c r="G13" s="219">
        <f t="shared" si="4"/>
        <v>1298601.1906138607</v>
      </c>
      <c r="H13" s="219">
        <f t="shared" si="4"/>
        <v>1159465.3487623755</v>
      </c>
      <c r="I13" s="219">
        <f t="shared" si="4"/>
        <v>1035236.9185378352</v>
      </c>
      <c r="J13" s="219">
        <f t="shared" si="4"/>
        <v>924318.6772659244</v>
      </c>
      <c r="K13" s="219">
        <f t="shared" si="4"/>
        <v>825284.53327314672</v>
      </c>
      <c r="L13" s="219">
        <f t="shared" si="4"/>
        <v>736861.19042245229</v>
      </c>
      <c r="M13" s="219">
        <f t="shared" si="4"/>
        <v>657911.7771629038</v>
      </c>
      <c r="N13" s="219">
        <f t="shared" si="4"/>
        <v>587421.22960973554</v>
      </c>
      <c r="O13" s="219">
        <f t="shared" si="4"/>
        <v>524483.24072297814</v>
      </c>
      <c r="P13" s="219">
        <f t="shared" si="4"/>
        <v>468288.60778837331</v>
      </c>
      <c r="Q13" s="219">
        <f t="shared" si="4"/>
        <v>418114.82838247606</v>
      </c>
      <c r="R13" s="219">
        <f t="shared" si="4"/>
        <v>373316.81105578225</v>
      </c>
      <c r="S13" s="219">
        <f t="shared" si="4"/>
        <v>333318.58129980555</v>
      </c>
      <c r="T13" s="220">
        <f t="shared" si="4"/>
        <v>297605.87616054062</v>
      </c>
      <c r="AA13" s="188"/>
      <c r="AB13" s="193"/>
    </row>
    <row r="14" spans="1:28" ht="15.75" thickBot="1">
      <c r="A14" s="402" t="s">
        <v>237</v>
      </c>
      <c r="B14" s="403"/>
      <c r="C14" s="231">
        <f>SUM(C9:C13)</f>
        <v>11094662.14454571</v>
      </c>
      <c r="D14" s="153"/>
      <c r="E14" s="221" t="s">
        <v>116</v>
      </c>
      <c r="F14" s="222">
        <f>SUM(F13:T13)</f>
        <v>3.0267983675003052E-9</v>
      </c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AA14" s="188"/>
      <c r="AB14" s="193"/>
    </row>
    <row r="15" spans="1:28">
      <c r="A15" s="153"/>
      <c r="B15" s="153"/>
      <c r="C15" s="153"/>
      <c r="D15" s="153"/>
      <c r="E15" s="223" t="s">
        <v>159</v>
      </c>
      <c r="F15" s="224">
        <v>0.12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AA15" s="404"/>
      <c r="AB15" s="404"/>
    </row>
    <row r="16" spans="1:28" ht="15" thickBot="1">
      <c r="A16" s="153"/>
      <c r="B16" s="153"/>
      <c r="C16" s="153"/>
      <c r="D16" s="153"/>
      <c r="E16" s="225" t="s">
        <v>119</v>
      </c>
      <c r="F16" s="226">
        <v>3.1188280955667058E-2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8">
      <c r="A17" s="166"/>
      <c r="B17" s="166"/>
      <c r="C17" s="166"/>
      <c r="D17" s="166"/>
      <c r="E17" s="15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8">
      <c r="AB18" s="195"/>
    </row>
    <row r="19" spans="1:28" ht="15.75">
      <c r="A19" s="184"/>
      <c r="B19" s="184"/>
      <c r="C19" s="184"/>
      <c r="D19" s="26"/>
    </row>
  </sheetData>
  <sheetProtection algorithmName="SHA-512" hashValue="n6Ae6Mcw2f3QKCj4E0At8F7vBZwkPRSYkrXDS+7y8NNU3jqpMieopU/zfpWEPyxOHsPvZIDsonaFCzfhE35HjA==" saltValue="8nuW4ygWpb+/DOjU0iwP1w==" spinCount="100000" sheet="1" objects="1" scenarios="1"/>
  <customSheetViews>
    <customSheetView guid="{B8BA5BCE-F393-4B11-B2A4-25A7A54F3B8C}" showGridLines="0">
      <selection activeCell="F10" sqref="F10"/>
      <pageMargins left="0.511811024" right="0.511811024" top="0.78740157499999996" bottom="0.78740157499999996" header="0.31496062000000002" footer="0.31496062000000002"/>
    </customSheetView>
  </customSheetViews>
  <mergeCells count="2">
    <mergeCell ref="A14:B14"/>
    <mergeCell ref="AA15:AB15"/>
  </mergeCells>
  <pageMargins left="0.511811024" right="0.511811024" top="0.78740157499999996" bottom="0.78740157499999996" header="0.31496062000000002" footer="0.31496062000000002"/>
  <pageSetup paperSize="9" scale="36" orientation="portrait" r:id="rId1"/>
  <colBreaks count="1" manualBreakCount="1">
    <brk id="2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showGridLines="0" view="pageBreakPreview" zoomScale="120" zoomScaleNormal="90" zoomScaleSheetLayoutView="120" workbookViewId="0">
      <selection activeCell="A5" sqref="A5"/>
    </sheetView>
  </sheetViews>
  <sheetFormatPr defaultColWidth="9.125" defaultRowHeight="12.75"/>
  <cols>
    <col min="1" max="1" width="79.125" style="2" customWidth="1"/>
    <col min="2" max="2" width="15.75" style="2" customWidth="1"/>
    <col min="3" max="4" width="14.375" style="2" bestFit="1" customWidth="1"/>
    <col min="5" max="5" width="26.875" style="2" bestFit="1" customWidth="1"/>
    <col min="6" max="7" width="12.375" style="2" bestFit="1" customWidth="1"/>
    <col min="8" max="9" width="9.125" style="2"/>
    <col min="10" max="24" width="10.125" style="2" bestFit="1" customWidth="1"/>
    <col min="25" max="25" width="12.375" style="2" customWidth="1"/>
    <col min="26" max="16384" width="9.125" style="2"/>
  </cols>
  <sheetData>
    <row r="1" spans="1:2">
      <c r="A1" s="1" t="s">
        <v>244</v>
      </c>
      <c r="B1" s="27"/>
    </row>
    <row r="2" spans="1:2">
      <c r="A2" s="423" t="s">
        <v>242</v>
      </c>
      <c r="B2" s="27"/>
    </row>
    <row r="4" spans="1:2">
      <c r="B4" s="15"/>
    </row>
    <row r="5" spans="1:2" s="93" customFormat="1" ht="15">
      <c r="A5" s="346" t="s">
        <v>276</v>
      </c>
    </row>
    <row r="7" spans="1:2">
      <c r="A7" s="168" t="s">
        <v>243</v>
      </c>
      <c r="B7" s="173">
        <f>'Plan1-FROTA KM DEM ANO1'!D11</f>
        <v>46633969.200000003</v>
      </c>
    </row>
    <row r="9" spans="1:2">
      <c r="A9" s="168" t="s">
        <v>192</v>
      </c>
      <c r="B9" s="66">
        <f>SUM(B10:B14)</f>
        <v>159540858.53660086</v>
      </c>
    </row>
    <row r="10" spans="1:2">
      <c r="A10" s="169" t="s">
        <v>194</v>
      </c>
      <c r="B10" s="12">
        <f>'Plan2-CustosVariáveis'!F92</f>
        <v>74505504.704167515</v>
      </c>
    </row>
    <row r="11" spans="1:2">
      <c r="A11" s="169" t="s">
        <v>195</v>
      </c>
      <c r="B11" s="12">
        <f>'Plan3-CustosFixos'!E143</f>
        <v>80474324.42582798</v>
      </c>
    </row>
    <row r="12" spans="1:2">
      <c r="A12" s="169" t="s">
        <v>196</v>
      </c>
      <c r="B12" s="12">
        <f>'Plan4-Custos SAP'!E32</f>
        <v>827686.54108717199</v>
      </c>
    </row>
    <row r="13" spans="1:2">
      <c r="A13" s="169" t="s">
        <v>197</v>
      </c>
      <c r="B13" s="12">
        <f>'Plan5-Garagens_EstaçãodeRecarga'!E73</f>
        <v>2246761.0939146527</v>
      </c>
    </row>
    <row r="14" spans="1:2">
      <c r="A14" s="170" t="s">
        <v>198</v>
      </c>
      <c r="B14" s="171">
        <f>'Plan6-ControleOperacional'!E35</f>
        <v>1486581.7716035112</v>
      </c>
    </row>
    <row r="16" spans="1:2">
      <c r="A16" s="168" t="s">
        <v>240</v>
      </c>
      <c r="B16" s="424">
        <f>7.31%*B9</f>
        <v>11662436.759025522</v>
      </c>
    </row>
    <row r="17" spans="1:2" ht="25.5">
      <c r="A17" s="245" t="s">
        <v>258</v>
      </c>
      <c r="B17" s="66">
        <f>B16+B9</f>
        <v>171203295.29562637</v>
      </c>
    </row>
    <row r="18" spans="1:2">
      <c r="A18" s="168" t="s">
        <v>238</v>
      </c>
      <c r="B18" s="172">
        <v>0</v>
      </c>
    </row>
    <row r="19" spans="1:2">
      <c r="A19" s="245" t="s">
        <v>259</v>
      </c>
      <c r="B19" s="66">
        <f>SUM(B17:B18)/B7</f>
        <v>3.671214315071134</v>
      </c>
    </row>
    <row r="20" spans="1:2">
      <c r="A20" s="168" t="s">
        <v>252</v>
      </c>
      <c r="B20" s="174">
        <f>'Plan7-RemunOperaçãoExperimental'!F16</f>
        <v>3.1188280955667058E-2</v>
      </c>
    </row>
    <row r="22" spans="1:2">
      <c r="A22" s="168" t="s">
        <v>107</v>
      </c>
      <c r="B22" s="108">
        <f>B23+B24</f>
        <v>1.4999999999999999E-2</v>
      </c>
    </row>
    <row r="23" spans="1:2">
      <c r="A23" s="169" t="s">
        <v>164</v>
      </c>
      <c r="B23" s="95">
        <v>0</v>
      </c>
    </row>
    <row r="24" spans="1:2">
      <c r="A24" s="167" t="s">
        <v>191</v>
      </c>
      <c r="B24" s="95">
        <v>1.4999999999999999E-2</v>
      </c>
    </row>
    <row r="26" spans="1:2">
      <c r="A26" s="168" t="s">
        <v>239</v>
      </c>
      <c r="B26" s="177">
        <f>(B19+B20)/(1-B22)</f>
        <v>3.7587843614485288</v>
      </c>
    </row>
    <row r="27" spans="1:2">
      <c r="A27" s="168" t="s">
        <v>193</v>
      </c>
      <c r="B27" s="177">
        <f>TRUNC(B26,2)*TRUNC(B7,0)</f>
        <v>174877383.75</v>
      </c>
    </row>
    <row r="34" spans="1:2">
      <c r="A34" s="3"/>
    </row>
    <row r="39" spans="1:2">
      <c r="A39" s="191"/>
      <c r="B39" s="190"/>
    </row>
    <row r="40" spans="1:2">
      <c r="A40" s="191"/>
    </row>
    <row r="41" spans="1:2">
      <c r="A41" s="191"/>
    </row>
    <row r="42" spans="1:2">
      <c r="A42" s="191"/>
    </row>
    <row r="43" spans="1:2">
      <c r="A43" s="191"/>
    </row>
    <row r="44" spans="1:2">
      <c r="A44" s="191"/>
    </row>
    <row r="45" spans="1:2">
      <c r="A45" s="191"/>
    </row>
    <row r="46" spans="1:2">
      <c r="A46" s="191"/>
    </row>
    <row r="47" spans="1:2">
      <c r="A47" s="191"/>
    </row>
    <row r="48" spans="1:2">
      <c r="A48" s="191"/>
      <c r="B48" s="190"/>
    </row>
    <row r="49" spans="1:2">
      <c r="A49" s="191"/>
    </row>
    <row r="50" spans="1:2">
      <c r="A50" s="191"/>
    </row>
    <row r="51" spans="1:2">
      <c r="A51" s="191"/>
    </row>
    <row r="56" spans="1:2">
      <c r="B56" s="190"/>
    </row>
  </sheetData>
  <sheetProtection algorithmName="SHA-512" hashValue="BRHRW7l9YBc/uXCZ0viJ9y2q/7b/BM2qwEXlMgpxg28wOSGEnYoqg+Mg6b63eOp04C3Dfn5IyoZhLto/NnMu9g==" saltValue="24M8uXJw1xy5AkqnAbvO/g==" spinCount="100000" sheet="1" objects="1" scenarios="1"/>
  <customSheetViews>
    <customSheetView guid="{B8BA5BCE-F393-4B11-B2A4-25A7A54F3B8C}" showGridLines="0">
      <selection activeCell="B12" sqref="B12"/>
      <pageMargins left="0.511811024" right="0.511811024" top="0.78740157499999996" bottom="0.78740157499999996" header="0.31496062000000002" footer="0.31496062000000002"/>
      <pageSetup paperSize="9" orientation="portrait" horizontalDpi="0" verticalDpi="0" r:id="rId1"/>
    </customSheetView>
  </customSheetViews>
  <phoneticPr fontId="14" type="noConversion"/>
  <pageMargins left="0.511811024" right="0.511811024" top="0.78740157499999996" bottom="0.78740157499999996" header="0.31496062000000002" footer="0.31496062000000002"/>
  <pageSetup paperSize="9" scale="88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showGridLines="0" view="pageBreakPreview" zoomScale="120" zoomScaleNormal="110" zoomScaleSheetLayoutView="120" workbookViewId="0">
      <selection activeCell="D10" sqref="D10"/>
    </sheetView>
  </sheetViews>
  <sheetFormatPr defaultColWidth="9.125" defaultRowHeight="12.75"/>
  <cols>
    <col min="1" max="1" width="34.875" style="27" customWidth="1"/>
    <col min="2" max="2" width="13.375" style="27" customWidth="1"/>
    <col min="3" max="3" width="15.125" style="27" customWidth="1"/>
    <col min="4" max="4" width="11.75" style="27" customWidth="1"/>
    <col min="5" max="5" width="13" style="27" customWidth="1"/>
    <col min="6" max="6" width="20.625" style="27" customWidth="1"/>
    <col min="7" max="7" width="15.125" style="27" bestFit="1" customWidth="1"/>
    <col min="8" max="16384" width="9.125" style="27"/>
  </cols>
  <sheetData>
    <row r="1" spans="1:7">
      <c r="A1" s="1" t="s">
        <v>244</v>
      </c>
    </row>
    <row r="2" spans="1:7">
      <c r="A2" s="423" t="s">
        <v>242</v>
      </c>
    </row>
    <row r="5" spans="1:7" s="338" customFormat="1" ht="20.100000000000001" customHeight="1">
      <c r="A5" s="334" t="s">
        <v>277</v>
      </c>
      <c r="B5" s="339"/>
      <c r="C5" s="339"/>
    </row>
    <row r="6" spans="1:7" ht="13.5" thickBot="1"/>
    <row r="7" spans="1:7" ht="24.75" customHeight="1" thickBot="1">
      <c r="A7" s="405" t="s">
        <v>29</v>
      </c>
      <c r="B7" s="406"/>
      <c r="C7" s="235" t="s">
        <v>200</v>
      </c>
      <c r="D7" s="235" t="s">
        <v>217</v>
      </c>
      <c r="E7" s="235" t="s">
        <v>218</v>
      </c>
    </row>
    <row r="8" spans="1:7">
      <c r="A8" s="68" t="s">
        <v>313</v>
      </c>
      <c r="B8" s="69"/>
      <c r="C8" s="137">
        <v>21980.28181959</v>
      </c>
      <c r="D8" s="70">
        <f>1+B36</f>
        <v>1.6422432</v>
      </c>
      <c r="E8" s="71">
        <f>TRUNC(C8*D8,2)</f>
        <v>36096.959999999999</v>
      </c>
      <c r="G8" s="94"/>
    </row>
    <row r="9" spans="1:7">
      <c r="A9" s="72" t="s">
        <v>314</v>
      </c>
      <c r="B9" s="73"/>
      <c r="C9" s="138">
        <v>16115.316819589998</v>
      </c>
      <c r="D9" s="74">
        <f>D8</f>
        <v>1.6422432</v>
      </c>
      <c r="E9" s="75">
        <f>TRUNC(C9*D9,2)</f>
        <v>26465.26</v>
      </c>
      <c r="G9" s="94"/>
    </row>
    <row r="10" spans="1:7">
      <c r="A10" s="417" t="s">
        <v>315</v>
      </c>
      <c r="B10" s="418"/>
      <c r="C10" s="138">
        <v>10188.1480008</v>
      </c>
      <c r="D10" s="74">
        <f>D9</f>
        <v>1.6422432</v>
      </c>
      <c r="E10" s="75">
        <f>TRUNC(C10*D10,2)</f>
        <v>16731.41</v>
      </c>
      <c r="G10" s="94"/>
    </row>
    <row r="11" spans="1:7">
      <c r="A11" s="411" t="s">
        <v>5</v>
      </c>
      <c r="B11" s="412"/>
      <c r="C11" s="412"/>
      <c r="D11" s="413"/>
      <c r="E11" s="76">
        <f>SUM(E8:E10)</f>
        <v>79293.63</v>
      </c>
      <c r="G11" s="77"/>
    </row>
    <row r="12" spans="1:7" ht="13.5" thickBot="1"/>
    <row r="13" spans="1:7" ht="13.5" thickBot="1">
      <c r="A13" s="67" t="s">
        <v>30</v>
      </c>
      <c r="B13" s="67" t="s">
        <v>22</v>
      </c>
    </row>
    <row r="14" spans="1:7" ht="28.5" customHeight="1">
      <c r="A14" s="414" t="s">
        <v>323</v>
      </c>
      <c r="B14" s="415"/>
      <c r="C14" s="26"/>
      <c r="D14" s="26"/>
      <c r="E14" s="26" t="s">
        <v>74</v>
      </c>
    </row>
    <row r="15" spans="1:7" ht="25.5">
      <c r="A15" s="78" t="s">
        <v>31</v>
      </c>
      <c r="B15" s="359"/>
      <c r="E15" s="4" t="s">
        <v>30</v>
      </c>
      <c r="F15" s="29" t="s">
        <v>69</v>
      </c>
    </row>
    <row r="16" spans="1:7">
      <c r="A16" s="24" t="s">
        <v>32</v>
      </c>
      <c r="B16" s="360"/>
      <c r="E16" s="24" t="s">
        <v>70</v>
      </c>
      <c r="F16" s="75">
        <v>30</v>
      </c>
    </row>
    <row r="17" spans="1:6">
      <c r="A17" s="79" t="s">
        <v>33</v>
      </c>
      <c r="B17" s="80">
        <v>0.5</v>
      </c>
      <c r="E17" s="24" t="s">
        <v>71</v>
      </c>
      <c r="F17" s="75">
        <f>(148831.21+406770.78)/6531</f>
        <v>85.071503598223856</v>
      </c>
    </row>
    <row r="18" spans="1:6">
      <c r="A18" s="79" t="s">
        <v>34</v>
      </c>
      <c r="B18" s="80">
        <v>0.3</v>
      </c>
      <c r="E18" s="24" t="s">
        <v>72</v>
      </c>
      <c r="F18" s="75">
        <v>749.33</v>
      </c>
    </row>
    <row r="19" spans="1:6">
      <c r="A19" s="78" t="s">
        <v>5</v>
      </c>
      <c r="B19" s="324">
        <f>B17+B18</f>
        <v>0.8</v>
      </c>
      <c r="E19" s="24" t="s">
        <v>73</v>
      </c>
      <c r="F19" s="75">
        <f>(368309.42+115754.39)/6531</f>
        <v>74.11787015770939</v>
      </c>
    </row>
    <row r="20" spans="1:6">
      <c r="A20" s="35" t="s">
        <v>35</v>
      </c>
      <c r="B20" s="80">
        <f>1-B19</f>
        <v>0.19999999999999996</v>
      </c>
      <c r="E20" s="78" t="s">
        <v>160</v>
      </c>
      <c r="F20" s="76">
        <f>SUM(F16:F19)</f>
        <v>938.51937375593332</v>
      </c>
    </row>
    <row r="21" spans="1:6" ht="15.75">
      <c r="A21" s="24" t="s">
        <v>255</v>
      </c>
      <c r="B21" s="24">
        <v>52</v>
      </c>
    </row>
    <row r="22" spans="1:6">
      <c r="A22" s="24" t="s">
        <v>36</v>
      </c>
      <c r="B22" s="81">
        <f>B20*B21/365</f>
        <v>2.8493150684931502E-2</v>
      </c>
    </row>
    <row r="23" spans="1:6">
      <c r="A23" s="361"/>
      <c r="B23" s="416"/>
    </row>
    <row r="24" spans="1:6">
      <c r="A24" s="82" t="s">
        <v>37</v>
      </c>
      <c r="B24" s="83"/>
    </row>
    <row r="25" spans="1:6" ht="15.75">
      <c r="A25" s="24" t="s">
        <v>280</v>
      </c>
      <c r="B25" s="80">
        <v>0.5</v>
      </c>
    </row>
    <row r="26" spans="1:6" ht="15.75">
      <c r="A26" s="24" t="s">
        <v>279</v>
      </c>
      <c r="B26" s="24">
        <v>12</v>
      </c>
    </row>
    <row r="27" spans="1:6">
      <c r="A27" s="24" t="s">
        <v>281</v>
      </c>
      <c r="B27" s="81">
        <f>B26*B25*2/365</f>
        <v>3.287671232876712E-2</v>
      </c>
    </row>
    <row r="28" spans="1:6">
      <c r="A28" s="361"/>
      <c r="B28" s="416"/>
    </row>
    <row r="29" spans="1:6">
      <c r="A29" s="82" t="s">
        <v>38</v>
      </c>
      <c r="B29" s="85">
        <f>(1/12)/(1-(1/12))</f>
        <v>9.0909090909090912E-2</v>
      </c>
    </row>
    <row r="30" spans="1:6">
      <c r="A30" s="407"/>
      <c r="B30" s="408"/>
    </row>
    <row r="31" spans="1:6">
      <c r="A31" s="82" t="s">
        <v>39</v>
      </c>
      <c r="B31" s="85">
        <f>(0.12*15/365)+(5/365)</f>
        <v>1.8630136986301369E-2</v>
      </c>
    </row>
    <row r="32" spans="1:6">
      <c r="A32" s="407"/>
      <c r="B32" s="408"/>
    </row>
    <row r="33" spans="1:3">
      <c r="A33" s="82" t="s">
        <v>40</v>
      </c>
      <c r="B33" s="85">
        <f>B31+B29+B27+B22</f>
        <v>0.1709090909090909</v>
      </c>
    </row>
    <row r="34" spans="1:3">
      <c r="A34" s="26"/>
      <c r="B34" s="84"/>
    </row>
    <row r="36" spans="1:3">
      <c r="A36" s="82" t="s">
        <v>41</v>
      </c>
      <c r="B36" s="85">
        <f>B46+B56+B62+B65</f>
        <v>0.64224320000000001</v>
      </c>
    </row>
    <row r="37" spans="1:3">
      <c r="A37" s="78" t="s">
        <v>42</v>
      </c>
      <c r="B37" s="86"/>
    </row>
    <row r="38" spans="1:3">
      <c r="A38" s="5" t="s">
        <v>43</v>
      </c>
      <c r="B38" s="86">
        <v>1.4999999999999999E-2</v>
      </c>
    </row>
    <row r="39" spans="1:3">
      <c r="A39" s="5" t="s">
        <v>44</v>
      </c>
      <c r="B39" s="86">
        <v>0.01</v>
      </c>
    </row>
    <row r="40" spans="1:3">
      <c r="A40" s="5" t="s">
        <v>45</v>
      </c>
      <c r="B40" s="86">
        <v>6.0000000000000001E-3</v>
      </c>
    </row>
    <row r="41" spans="1:3">
      <c r="A41" s="5" t="s">
        <v>46</v>
      </c>
      <c r="B41" s="86">
        <v>2E-3</v>
      </c>
    </row>
    <row r="42" spans="1:3">
      <c r="A42" s="5" t="s">
        <v>47</v>
      </c>
      <c r="B42" s="86">
        <v>2.5000000000000001E-2</v>
      </c>
    </row>
    <row r="43" spans="1:3">
      <c r="A43" s="5" t="s">
        <v>48</v>
      </c>
      <c r="B43" s="86">
        <v>0.03</v>
      </c>
    </row>
    <row r="44" spans="1:3">
      <c r="A44" s="5" t="s">
        <v>49</v>
      </c>
      <c r="B44" s="86">
        <v>0.08</v>
      </c>
    </row>
    <row r="45" spans="1:3">
      <c r="A45" s="5" t="s">
        <v>161</v>
      </c>
      <c r="B45" s="86">
        <v>0.2</v>
      </c>
      <c r="C45" s="2"/>
    </row>
    <row r="46" spans="1:3">
      <c r="A46" s="83" t="s">
        <v>254</v>
      </c>
      <c r="B46" s="87">
        <f>SUM(B38:B45)</f>
        <v>0.36799999999999999</v>
      </c>
    </row>
    <row r="47" spans="1:3">
      <c r="A47" s="8"/>
      <c r="B47" s="8"/>
    </row>
    <row r="48" spans="1:3">
      <c r="A48" s="409" t="s">
        <v>50</v>
      </c>
      <c r="B48" s="410"/>
    </row>
    <row r="49" spans="1:2">
      <c r="A49" s="5" t="s">
        <v>51</v>
      </c>
      <c r="B49" s="47">
        <v>2.7799999999999998E-2</v>
      </c>
    </row>
    <row r="50" spans="1:2">
      <c r="A50" s="5" t="s">
        <v>52</v>
      </c>
      <c r="B50" s="47">
        <v>8.3299999999999999E-2</v>
      </c>
    </row>
    <row r="51" spans="1:2">
      <c r="A51" s="5" t="s">
        <v>53</v>
      </c>
      <c r="B51" s="88">
        <v>6.9999999999999999E-4</v>
      </c>
    </row>
    <row r="52" spans="1:2">
      <c r="A52" s="5" t="s">
        <v>54</v>
      </c>
      <c r="B52" s="88">
        <v>4.0000000000000002E-4</v>
      </c>
    </row>
    <row r="53" spans="1:2">
      <c r="A53" s="5" t="s">
        <v>55</v>
      </c>
      <c r="B53" s="88">
        <v>1E-4</v>
      </c>
    </row>
    <row r="54" spans="1:2">
      <c r="A54" s="5" t="s">
        <v>56</v>
      </c>
      <c r="B54" s="88">
        <v>2.0000000000000001E-4</v>
      </c>
    </row>
    <row r="55" spans="1:2">
      <c r="A55" s="5" t="s">
        <v>57</v>
      </c>
      <c r="B55" s="88">
        <v>2.24E-2</v>
      </c>
    </row>
    <row r="56" spans="1:2">
      <c r="A56" s="24" t="s">
        <v>162</v>
      </c>
      <c r="B56" s="89">
        <f>SUM(B49:B55)</f>
        <v>0.13490000000000002</v>
      </c>
    </row>
    <row r="57" spans="1:2">
      <c r="A57" s="8"/>
      <c r="B57" s="8"/>
    </row>
    <row r="58" spans="1:2">
      <c r="A58" s="409" t="s">
        <v>58</v>
      </c>
      <c r="B58" s="410"/>
    </row>
    <row r="59" spans="1:2">
      <c r="A59" s="5" t="s">
        <v>59</v>
      </c>
      <c r="B59" s="88">
        <v>4.3299999999999998E-2</v>
      </c>
    </row>
    <row r="60" spans="1:2">
      <c r="A60" s="5" t="s">
        <v>60</v>
      </c>
      <c r="B60" s="88">
        <v>4.3099999999999999E-2</v>
      </c>
    </row>
    <row r="61" spans="1:2">
      <c r="A61" s="90" t="s">
        <v>61</v>
      </c>
      <c r="B61" s="88">
        <v>3.3E-3</v>
      </c>
    </row>
    <row r="62" spans="1:2">
      <c r="A62" s="8"/>
      <c r="B62" s="91">
        <f>SUM(B59:B61)</f>
        <v>8.9700000000000002E-2</v>
      </c>
    </row>
    <row r="63" spans="1:2">
      <c r="A63" s="8"/>
      <c r="B63" s="92"/>
    </row>
    <row r="64" spans="1:2">
      <c r="A64" s="409" t="s">
        <v>62</v>
      </c>
      <c r="B64" s="410"/>
    </row>
    <row r="65" spans="1:2">
      <c r="A65" s="5" t="s">
        <v>63</v>
      </c>
      <c r="B65" s="91">
        <f>(B46)*(B56)</f>
        <v>4.9643200000000005E-2</v>
      </c>
    </row>
    <row r="68" spans="1:2">
      <c r="A68" s="26"/>
    </row>
  </sheetData>
  <sheetProtection algorithmName="SHA-512" hashValue="m01bhI0J2hbRRSbyYYPkR7fxmM6p+nra4pIg1tLGCXty1W0CVvN2DP+0ykKUlnVqYdVZ2N/BXMUdVyZfMvqvHw==" saltValue="dklLQ1yQhSrXsSi+9H3SzQ==" spinCount="100000" sheet="1" objects="1" scenarios="1"/>
  <customSheetViews>
    <customSheetView guid="{B8BA5BCE-F393-4B11-B2A4-25A7A54F3B8C}" showGridLines="0">
      <selection activeCell="B32" sqref="B32"/>
      <pageMargins left="0.511811024" right="0.511811024" top="0.78740157499999996" bottom="0.78740157499999996" header="0.31496062000000002" footer="0.31496062000000002"/>
    </customSheetView>
  </customSheetViews>
  <mergeCells count="12">
    <mergeCell ref="A7:B7"/>
    <mergeCell ref="A32:B32"/>
    <mergeCell ref="A48:B48"/>
    <mergeCell ref="A58:B58"/>
    <mergeCell ref="A64:B64"/>
    <mergeCell ref="A11:D11"/>
    <mergeCell ref="A14:B14"/>
    <mergeCell ref="B15:B16"/>
    <mergeCell ref="A23:B23"/>
    <mergeCell ref="A28:B28"/>
    <mergeCell ref="A30:B30"/>
    <mergeCell ref="A10:B10"/>
  </mergeCells>
  <pageMargins left="0.511811024" right="0.511811024" top="0.78740157499999996" bottom="0.78740157499999996" header="0.31496062000000002" footer="0.31496062000000002"/>
  <pageSetup paperSize="9" scale="77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7</vt:i4>
      </vt:variant>
    </vt:vector>
  </HeadingPairs>
  <TitlesOfParts>
    <vt:vector size="17" baseType="lpstr">
      <vt:lpstr>Plan1-FROTA KM DEM ANO1</vt:lpstr>
      <vt:lpstr>Plan2-CustosVariáveis</vt:lpstr>
      <vt:lpstr>Plan3-CustosFixos</vt:lpstr>
      <vt:lpstr>Plan4-Custos SAP</vt:lpstr>
      <vt:lpstr>Plan5-Garagens_EstaçãodeRecarga</vt:lpstr>
      <vt:lpstr>Plan6-ControleOperacional</vt:lpstr>
      <vt:lpstr>Plan7-RemunOperaçãoExperimental</vt:lpstr>
      <vt:lpstr>Plan8-TarifadeRemuneração</vt:lpstr>
      <vt:lpstr>Plan9-AuxiliarEncargos</vt:lpstr>
      <vt:lpstr>Plan10-AuxiliarEnergiaElétrica</vt:lpstr>
      <vt:lpstr>'Plan1-FROTA KM DEM ANO1'!Area_de_impressao</vt:lpstr>
      <vt:lpstr>'Plan2-CustosVariáveis'!Area_de_impressao</vt:lpstr>
      <vt:lpstr>'Plan4-Custos SAP'!Area_de_impressao</vt:lpstr>
      <vt:lpstr>'Plan5-Garagens_EstaçãodeRecarga'!Area_de_impressao</vt:lpstr>
      <vt:lpstr>'Plan6-ControleOperacional'!Area_de_impressao</vt:lpstr>
      <vt:lpstr>'Plan7-RemunOperaçãoExperimental'!Area_de_impressao</vt:lpstr>
      <vt:lpstr>'Plan9-AuxiliarEncargos'!Area_de_impressao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Hélio Souza</dc:creator>
  <cp:lastModifiedBy>artran</cp:lastModifiedBy>
  <cp:lastPrinted>2025-02-20T18:46:40Z</cp:lastPrinted>
  <dcterms:created xsi:type="dcterms:W3CDTF">2024-05-11T09:39:59Z</dcterms:created>
  <dcterms:modified xsi:type="dcterms:W3CDTF">2025-02-25T13:28:31Z</dcterms:modified>
</cp:coreProperties>
</file>